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irstrandgroup-my.sharepoint.com/personal/f5604958_fnb_co_za/Documents/Desktop/Netball Stuff/"/>
    </mc:Choice>
  </mc:AlternateContent>
  <xr:revisionPtr revIDLastSave="1122" documentId="8_{09998BA6-4013-431E-BFE1-AAD819BD8427}" xr6:coauthVersionLast="47" xr6:coauthVersionMax="47" xr10:uidLastSave="{079DCFAD-54D3-4EA6-88E5-7D173D5A52B4}"/>
  <bookViews>
    <workbookView xWindow="-108" yWindow="-108" windowWidth="23256" windowHeight="12456" firstSheet="6" activeTab="8" xr2:uid="{00000000-000D-0000-FFFF-FFFF00000000}"/>
  </bookViews>
  <sheets>
    <sheet name="u21 B3 PURPLE" sheetId="51" r:id="rId1"/>
    <sheet name="u21 B3 PINK" sheetId="50" r:id="rId2"/>
    <sheet name="u21 B2 GREY" sheetId="43" r:id="rId3"/>
    <sheet name="u21 B2 GREEN" sheetId="53" r:id="rId4"/>
    <sheet name="u21 B1 RED" sheetId="47" r:id="rId5"/>
    <sheet name="u21 B1 BLUE" sheetId="42" r:id="rId6"/>
    <sheet name="u21 A" sheetId="46" r:id="rId7"/>
    <sheet name="Senior B5" sheetId="49" r:id="rId8"/>
    <sheet name="Senior B4 BLACK" sheetId="56" r:id="rId9"/>
    <sheet name="Senior B4 WHITE" sheetId="54" r:id="rId10"/>
    <sheet name="Senior B4 SILVER" sheetId="39" r:id="rId11"/>
    <sheet name="Senior B4 GREY" sheetId="38" r:id="rId12"/>
    <sheet name="Senior B3 PURPLE" sheetId="45" r:id="rId13"/>
    <sheet name="Senior B3 PINK" sheetId="41" r:id="rId14"/>
    <sheet name="Senior B2 GREEN" sheetId="44" r:id="rId15"/>
    <sheet name="Senior B2 GREY" sheetId="40" r:id="rId16"/>
    <sheet name="Senior B1 RED" sheetId="37" r:id="rId17"/>
    <sheet name="Senior B1 BLUE" sheetId="36" r:id="rId18"/>
    <sheet name="Senior A" sheetId="34" r:id="rId19"/>
    <sheet name="Points" sheetId="11" state="hidden" r:id="rId20"/>
  </sheets>
  <definedNames>
    <definedName name="home" localSheetId="18">'Senior A'!$A$17:$A$45</definedName>
    <definedName name="home" localSheetId="17">'Senior B1 BLUE'!$A$17:$A$44</definedName>
    <definedName name="home" localSheetId="16">'Senior B1 RED'!$A$17:$A$38</definedName>
    <definedName name="home" localSheetId="14">'Senior B2 GREEN'!$A$17:$A$34</definedName>
    <definedName name="home" localSheetId="15">'Senior B2 GREY'!$A$17:$A$33</definedName>
    <definedName name="home" localSheetId="13">'Senior B3 PINK'!$A$17:$A$48</definedName>
    <definedName name="home" localSheetId="12">'Senior B3 PURPLE'!$A$17:$A$46</definedName>
    <definedName name="home" localSheetId="8">'Senior B4 BLACK'!$A$17:$A$35</definedName>
    <definedName name="home" localSheetId="11">'Senior B4 GREY'!$A$17:$A$37</definedName>
    <definedName name="home" localSheetId="10">'Senior B4 SILVER'!$A$17:$A$38</definedName>
    <definedName name="home" localSheetId="9">'Senior B4 WHITE'!$A$17:$A$34</definedName>
    <definedName name="home" localSheetId="7">'Senior B5'!$A$17:$A$34</definedName>
    <definedName name="home" localSheetId="6">'u21 A'!$A$17:$A$42</definedName>
    <definedName name="home" localSheetId="5">'u21 B1 BLUE'!$A$17:$A$33</definedName>
    <definedName name="home" localSheetId="4">'u21 B1 RED'!$A$17:$A$37</definedName>
    <definedName name="home" localSheetId="3">'u21 B2 GREEN'!$A$17:$A$43</definedName>
    <definedName name="home" localSheetId="2">'u21 B2 GREY'!$A$17:$A$38</definedName>
    <definedName name="home" localSheetId="1">'u21 B3 PINK'!$A$17:$A$31</definedName>
    <definedName name="home" localSheetId="0">'u21 B3 PURPLE'!$A$16:$A$33</definedName>
    <definedName name="home">#REF!</definedName>
    <definedName name="homescore" localSheetId="18">'Senior A'!$C$17:$C$45</definedName>
    <definedName name="homescore" localSheetId="17">'Senior B1 BLUE'!$C$17:$C$44</definedName>
    <definedName name="homescore" localSheetId="16">'Senior B1 RED'!$C$17:$C$38</definedName>
    <definedName name="homescore" localSheetId="14">'Senior B2 GREEN'!$C$17:$C$34</definedName>
    <definedName name="homescore" localSheetId="15">'Senior B2 GREY'!$C$17:$C$33</definedName>
    <definedName name="homescore" localSheetId="13">'Senior B3 PINK'!$C$17:$C$48</definedName>
    <definedName name="homescore" localSheetId="12">'Senior B3 PURPLE'!$C$17:$C$46</definedName>
    <definedName name="homescore" localSheetId="8">'Senior B4 BLACK'!$C$17:$C$35</definedName>
    <definedName name="homescore" localSheetId="11">'Senior B4 GREY'!$C$17:$C$37</definedName>
    <definedName name="homescore" localSheetId="10">'Senior B4 SILVER'!$C$17:$C$38</definedName>
    <definedName name="homescore" localSheetId="9">'Senior B4 WHITE'!$C$17:$C$34</definedName>
    <definedName name="homescore" localSheetId="7">'Senior B5'!$C$17:$C$34</definedName>
    <definedName name="homescore" localSheetId="6">'u21 A'!$C$17:$C$42</definedName>
    <definedName name="homescore" localSheetId="5">'u21 B1 BLUE'!$C$17:$C$33</definedName>
    <definedName name="homescore" localSheetId="4">'u21 B1 RED'!$C$17:$C$37</definedName>
    <definedName name="homescore" localSheetId="3">'u21 B2 GREEN'!$C$17:$C$43</definedName>
    <definedName name="homescore" localSheetId="2">'u21 B2 GREY'!$C$17:$C$38</definedName>
    <definedName name="homescore" localSheetId="1">'u21 B3 PINK'!$C$17:$C$31</definedName>
    <definedName name="homescore" localSheetId="0">'u21 B3 PURPLE'!$C$16:$C$33</definedName>
    <definedName name="homescore">#REF!</definedName>
    <definedName name="visitor" localSheetId="18">'Senior A'!$B$17:$B$45</definedName>
    <definedName name="visitor" localSheetId="17">'Senior B1 BLUE'!$B$17:$B$44</definedName>
    <definedName name="visitor" localSheetId="16">'Senior B1 RED'!$B$17:$B$38</definedName>
    <definedName name="visitor" localSheetId="14">'Senior B2 GREEN'!$B$17:$B$34</definedName>
    <definedName name="visitor" localSheetId="15">'Senior B2 GREY'!$B$17:$B$33</definedName>
    <definedName name="visitor" localSheetId="13">'Senior B3 PINK'!$B$17:$B$48</definedName>
    <definedName name="visitor" localSheetId="12">'Senior B3 PURPLE'!$B$17:$B$46</definedName>
    <definedName name="visitor" localSheetId="8">'Senior B4 BLACK'!$B$17:$B$35</definedName>
    <definedName name="visitor" localSheetId="11">'Senior B4 GREY'!$B$17:$B$37</definedName>
    <definedName name="visitor" localSheetId="10">'Senior B4 SILVER'!$B$17:$B$38</definedName>
    <definedName name="visitor" localSheetId="9">'Senior B4 WHITE'!$B$17:$B$34</definedName>
    <definedName name="visitor" localSheetId="7">'Senior B5'!$B$17:$B$34</definedName>
    <definedName name="visitor" localSheetId="6">'u21 A'!$B$17:$B$42</definedName>
    <definedName name="visitor" localSheetId="5">'u21 B1 BLUE'!$B$17:$B$33</definedName>
    <definedName name="visitor" localSheetId="4">'u21 B1 RED'!$B$17:$B$37</definedName>
    <definedName name="visitor" localSheetId="3">'u21 B2 GREEN'!$B$17:$B$43</definedName>
    <definedName name="visitor" localSheetId="2">'u21 B2 GREY'!$B$17:$B$38</definedName>
    <definedName name="visitor" localSheetId="1">'u21 B3 PINK'!$B$17:$B$31</definedName>
    <definedName name="visitor" localSheetId="0">'u21 B3 PURPLE'!$B$16:$B$33</definedName>
    <definedName name="visitor">#REF!</definedName>
    <definedName name="visitorscore" localSheetId="18">'Senior A'!$E$17:$E$45</definedName>
    <definedName name="visitorscore" localSheetId="17">'Senior B1 BLUE'!$E$17:$E$44</definedName>
    <definedName name="visitorscore" localSheetId="16">'Senior B1 RED'!$E$17:$E$38</definedName>
    <definedName name="visitorscore" localSheetId="14">'Senior B2 GREEN'!$E$17:$E$34</definedName>
    <definedName name="visitorscore" localSheetId="15">'Senior B2 GREY'!$E$17:$E$33</definedName>
    <definedName name="visitorscore" localSheetId="13">'Senior B3 PINK'!$E$17:$E$48</definedName>
    <definedName name="visitorscore" localSheetId="12">'Senior B3 PURPLE'!$E$17:$E$46</definedName>
    <definedName name="visitorscore" localSheetId="8">'Senior B4 BLACK'!$E$17:$E$35</definedName>
    <definedName name="visitorscore" localSheetId="11">'Senior B4 GREY'!$E$17:$E$37</definedName>
    <definedName name="visitorscore" localSheetId="10">'Senior B4 SILVER'!$E$17:$E$38</definedName>
    <definedName name="visitorscore" localSheetId="9">'Senior B4 WHITE'!$E$17:$E$34</definedName>
    <definedName name="visitorscore" localSheetId="7">'Senior B5'!$E$17:$E$34</definedName>
    <definedName name="visitorscore" localSheetId="6">'u21 A'!$E$17:$E$42</definedName>
    <definedName name="visitorscore" localSheetId="5">'u21 B1 BLUE'!$E$17:$E$33</definedName>
    <definedName name="visitorscore" localSheetId="4">'u21 B1 RED'!$E$17:$E$37</definedName>
    <definedName name="visitorscore" localSheetId="3">'u21 B2 GREEN'!$E$17:$E$43</definedName>
    <definedName name="visitorscore" localSheetId="2">'u21 B2 GREY'!$E$17:$E$38</definedName>
    <definedName name="visitorscore" localSheetId="1">'u21 B3 PINK'!$E$17:$E$31</definedName>
    <definedName name="visitorscore" localSheetId="0">'u21 B3 PURPLE'!$E$16:$E$33</definedName>
    <definedName name="visitorscor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6" i="45" l="1" a="1"/>
  <c r="AA6" i="45" s="1"/>
  <c r="Y8" i="45" a="1"/>
  <c r="Y8" i="45" s="1"/>
  <c r="AA4" i="41" a="1"/>
  <c r="AA4" i="41" s="1"/>
  <c r="Y10" i="41" a="1"/>
  <c r="Y10" i="41" s="1"/>
  <c r="AA6" i="53" a="1"/>
  <c r="AA6" i="53" s="1"/>
  <c r="Y9" i="53" a="1"/>
  <c r="Y9" i="53" s="1"/>
  <c r="Y8" i="53" a="1"/>
  <c r="Y8" i="53" s="1"/>
  <c r="W4" i="34"/>
  <c r="X4" i="34" a="1"/>
  <c r="X4" i="34" s="1"/>
  <c r="Y4" i="34" a="1"/>
  <c r="Y4" i="34" s="1"/>
  <c r="Z4" i="34" a="1"/>
  <c r="Z4" i="34" s="1"/>
  <c r="AA4" i="34" a="1"/>
  <c r="AA4" i="34" s="1"/>
  <c r="AB4" i="34"/>
  <c r="AC4" i="34"/>
  <c r="Y3" i="47" a="1"/>
  <c r="Y3" i="47" s="1"/>
  <c r="AA4" i="47" a="1"/>
  <c r="AA4" i="47" s="1"/>
  <c r="W9" i="46"/>
  <c r="X9" i="46" s="1" a="1"/>
  <c r="X9" i="46" s="1"/>
  <c r="W6" i="49"/>
  <c r="D21" i="56"/>
  <c r="W7" i="56"/>
  <c r="X7" i="56" s="1" a="1"/>
  <c r="X7" i="56" s="1"/>
  <c r="AC6" i="56"/>
  <c r="AB6" i="56"/>
  <c r="AA6" i="56" a="1"/>
  <c r="AA6" i="56" s="1"/>
  <c r="Z6" i="56" a="1"/>
  <c r="Z6" i="56" s="1"/>
  <c r="Y6" i="56" a="1"/>
  <c r="Y6" i="56" s="1"/>
  <c r="W6" i="56"/>
  <c r="X6" i="56" s="1" a="1"/>
  <c r="X6" i="56" s="1"/>
  <c r="W5" i="56"/>
  <c r="AA5" i="56" s="1" a="1"/>
  <c r="AA5" i="56" s="1"/>
  <c r="W4" i="56"/>
  <c r="AC4" i="56" s="1"/>
  <c r="W3" i="56"/>
  <c r="AB3" i="56" s="1"/>
  <c r="D21" i="54"/>
  <c r="W7" i="54"/>
  <c r="AA7" i="54" s="1" a="1"/>
  <c r="AA7" i="54" s="1"/>
  <c r="W6" i="54"/>
  <c r="Y6" i="54" s="1" a="1"/>
  <c r="Y6" i="54" s="1"/>
  <c r="W5" i="54"/>
  <c r="AB5" i="54" s="1"/>
  <c r="W4" i="54"/>
  <c r="AB4" i="54" s="1"/>
  <c r="W3" i="54"/>
  <c r="AB3" i="54" s="1"/>
  <c r="D27" i="45"/>
  <c r="W9" i="45"/>
  <c r="X9" i="45" s="1" a="1"/>
  <c r="X9" i="45" s="1"/>
  <c r="W10" i="45"/>
  <c r="X10" i="45" s="1" a="1"/>
  <c r="X10" i="45" s="1"/>
  <c r="D27" i="41"/>
  <c r="W9" i="41"/>
  <c r="Y9" i="41" s="1" a="1"/>
  <c r="Y9" i="41" s="1"/>
  <c r="Z9" i="41" a="1"/>
  <c r="Z9" i="41" s="1"/>
  <c r="AA9" i="41" a="1"/>
  <c r="AA9" i="41" s="1"/>
  <c r="AB9" i="41"/>
  <c r="AC9" i="41"/>
  <c r="W10" i="41"/>
  <c r="X10" i="41" s="1" a="1"/>
  <c r="X10" i="41" s="1"/>
  <c r="AG4" i="34" l="1"/>
  <c r="Z7" i="56" a="1"/>
  <c r="Z7" i="56" s="1"/>
  <c r="AA7" i="56" a="1"/>
  <c r="AA7" i="56" s="1"/>
  <c r="AC7" i="56"/>
  <c r="X9" i="41" a="1"/>
  <c r="X9" i="41" s="1"/>
  <c r="AG9" i="41" s="1"/>
  <c r="AD4" i="34"/>
  <c r="AB9" i="46"/>
  <c r="AC9" i="46"/>
  <c r="AA9" i="46" a="1"/>
  <c r="AA9" i="46" s="1"/>
  <c r="Z9" i="46" a="1"/>
  <c r="Z9" i="46" s="1"/>
  <c r="Y9" i="46" a="1"/>
  <c r="Y9" i="46" s="1"/>
  <c r="Y7" i="56" a="1"/>
  <c r="Y7" i="56" s="1"/>
  <c r="Z3" i="56" a="1"/>
  <c r="Z3" i="56" s="1"/>
  <c r="AA3" i="56" a="1"/>
  <c r="AA3" i="56" s="1"/>
  <c r="Y3" i="56" a="1"/>
  <c r="Y3" i="56" s="1"/>
  <c r="AC3" i="56"/>
  <c r="AD3" i="56" s="1"/>
  <c r="X3" i="56" a="1"/>
  <c r="X3" i="56" s="1"/>
  <c r="AE6" i="56"/>
  <c r="AG6" i="56"/>
  <c r="AB7" i="56"/>
  <c r="X5" i="56" a="1"/>
  <c r="X5" i="56" s="1"/>
  <c r="Z4" i="56" a="1"/>
  <c r="Z4" i="56" s="1"/>
  <c r="AA4" i="56" a="1"/>
  <c r="AA4" i="56" s="1"/>
  <c r="AB4" i="56"/>
  <c r="X4" i="56" a="1"/>
  <c r="X4" i="56" s="1"/>
  <c r="Y4" i="56" a="1"/>
  <c r="Y4" i="56" s="1"/>
  <c r="Z5" i="56" a="1"/>
  <c r="Z5" i="56" s="1"/>
  <c r="AB5" i="56"/>
  <c r="AC5" i="56"/>
  <c r="Y5" i="56" a="1"/>
  <c r="Y5" i="56" s="1"/>
  <c r="AD6" i="56"/>
  <c r="AC6" i="54"/>
  <c r="X6" i="54" a="1"/>
  <c r="X6" i="54" s="1"/>
  <c r="Z6" i="54" a="1"/>
  <c r="Z6" i="54" s="1"/>
  <c r="AE6" i="54" s="1"/>
  <c r="AA6" i="54" a="1"/>
  <c r="AA6" i="54" s="1"/>
  <c r="AB6" i="54"/>
  <c r="AC7" i="54"/>
  <c r="X7" i="54" a="1"/>
  <c r="X7" i="54" s="1"/>
  <c r="AB7" i="54"/>
  <c r="Y3" i="54" a="1"/>
  <c r="Y3" i="54" s="1"/>
  <c r="Y4" i="54" a="1"/>
  <c r="Y4" i="54" s="1"/>
  <c r="Y5" i="54" a="1"/>
  <c r="Y5" i="54" s="1"/>
  <c r="Z4" i="54" a="1"/>
  <c r="Z4" i="54" s="1"/>
  <c r="AA5" i="54" a="1"/>
  <c r="AA5" i="54" s="1"/>
  <c r="AC3" i="54"/>
  <c r="AD3" i="54" s="1"/>
  <c r="AC4" i="54"/>
  <c r="AD4" i="54" s="1"/>
  <c r="AC5" i="54"/>
  <c r="AD5" i="54" s="1"/>
  <c r="Z3" i="54" a="1"/>
  <c r="Z3" i="54" s="1"/>
  <c r="Z5" i="54" a="1"/>
  <c r="Z5" i="54" s="1"/>
  <c r="AA3" i="54" a="1"/>
  <c r="AA3" i="54" s="1"/>
  <c r="AA4" i="54" a="1"/>
  <c r="AA4" i="54" s="1"/>
  <c r="X3" i="54" a="1"/>
  <c r="X3" i="54" s="1"/>
  <c r="X4" i="54" a="1"/>
  <c r="X4" i="54" s="1"/>
  <c r="X5" i="54" a="1"/>
  <c r="X5" i="54" s="1"/>
  <c r="Y7" i="54" a="1"/>
  <c r="Y7" i="54" s="1"/>
  <c r="Z7" i="54" a="1"/>
  <c r="Z7" i="54" s="1"/>
  <c r="AC9" i="45"/>
  <c r="AB9" i="45"/>
  <c r="AA9" i="45" a="1"/>
  <c r="AA9" i="45" s="1"/>
  <c r="Z9" i="45" a="1"/>
  <c r="Z9" i="45" s="1"/>
  <c r="Y9" i="45" a="1"/>
  <c r="Y9" i="45" s="1"/>
  <c r="AC10" i="45"/>
  <c r="AB10" i="45"/>
  <c r="AA10" i="45" a="1"/>
  <c r="AA10" i="45" s="1"/>
  <c r="Z10" i="45" a="1"/>
  <c r="Z10" i="45" s="1"/>
  <c r="Y10" i="45" a="1"/>
  <c r="Y10" i="45" s="1"/>
  <c r="AC10" i="41"/>
  <c r="AB10" i="41"/>
  <c r="AA10" i="41" a="1"/>
  <c r="AA10" i="41" s="1"/>
  <c r="Z10" i="41" a="1"/>
  <c r="Z10" i="41" s="1"/>
  <c r="AD9" i="41"/>
  <c r="AE9" i="41"/>
  <c r="AE7" i="56" l="1"/>
  <c r="AD9" i="46"/>
  <c r="AG9" i="46"/>
  <c r="AE9" i="46"/>
  <c r="AE3" i="56"/>
  <c r="AF3" i="56" s="1"/>
  <c r="AE4" i="56"/>
  <c r="AG3" i="56"/>
  <c r="AF6" i="56"/>
  <c r="AD5" i="56"/>
  <c r="AG5" i="56"/>
  <c r="AD4" i="56"/>
  <c r="AG4" i="56"/>
  <c r="AG7" i="56"/>
  <c r="AD7" i="56"/>
  <c r="AE5" i="56"/>
  <c r="AG6" i="54"/>
  <c r="AG7" i="54"/>
  <c r="AG4" i="54"/>
  <c r="AG5" i="54"/>
  <c r="AG3" i="54"/>
  <c r="AE4" i="54"/>
  <c r="AF4" i="54" s="1"/>
  <c r="AD6" i="54"/>
  <c r="AF6" i="54" s="1"/>
  <c r="AD7" i="54"/>
  <c r="AE5" i="54"/>
  <c r="AF5" i="54" s="1"/>
  <c r="AE3" i="54"/>
  <c r="AF3" i="54" s="1"/>
  <c r="AE7" i="54"/>
  <c r="AF7" i="54" s="1"/>
  <c r="AD10" i="45"/>
  <c r="AE9" i="45"/>
  <c r="AG9" i="45"/>
  <c r="AD9" i="45"/>
  <c r="AG10" i="45"/>
  <c r="AE10" i="45"/>
  <c r="AG10" i="41"/>
  <c r="AD10" i="41"/>
  <c r="AE10" i="41"/>
  <c r="AF9" i="41"/>
  <c r="AF9" i="46" l="1"/>
  <c r="AF7" i="56"/>
  <c r="AF5" i="56"/>
  <c r="AF4" i="56"/>
  <c r="H7" i="54" a="1"/>
  <c r="H7" i="54" s="1"/>
  <c r="Q7" i="54" s="1"/>
  <c r="H8" i="54" a="1"/>
  <c r="H8" i="54" s="1"/>
  <c r="Q8" i="54" s="1"/>
  <c r="H9" i="54" a="1"/>
  <c r="H9" i="54" s="1"/>
  <c r="Q9" i="54" s="1"/>
  <c r="H10" i="54" a="1"/>
  <c r="H10" i="54" s="1"/>
  <c r="Q10" i="54" s="1"/>
  <c r="H6" i="54" a="1"/>
  <c r="H6" i="54" s="1"/>
  <c r="AF10" i="45"/>
  <c r="AF9" i="45"/>
  <c r="AF10" i="41"/>
  <c r="H8" i="56" l="1" a="1"/>
  <c r="H8" i="56" s="1"/>
  <c r="M8" i="56" s="1"/>
  <c r="H9" i="56" a="1"/>
  <c r="H9" i="56" s="1"/>
  <c r="L9" i="56" s="1"/>
  <c r="H7" i="56" a="1"/>
  <c r="H7" i="56" s="1"/>
  <c r="M7" i="56" s="1"/>
  <c r="H6" i="56" a="1"/>
  <c r="H6" i="56" s="1"/>
  <c r="J6" i="56" s="1"/>
  <c r="H10" i="56" a="1"/>
  <c r="H10" i="56" s="1"/>
  <c r="M10" i="56" s="1"/>
  <c r="I6" i="54"/>
  <c r="Q6" i="54"/>
  <c r="J7" i="54"/>
  <c r="I7" i="54"/>
  <c r="L7" i="54"/>
  <c r="M7" i="54"/>
  <c r="P7" i="54"/>
  <c r="O7" i="54"/>
  <c r="N7" i="54"/>
  <c r="K7" i="54"/>
  <c r="O8" i="54"/>
  <c r="J8" i="54"/>
  <c r="I8" i="54"/>
  <c r="N8" i="54"/>
  <c r="K8" i="54"/>
  <c r="P8" i="54"/>
  <c r="L8" i="54"/>
  <c r="M8" i="54"/>
  <c r="I10" i="54"/>
  <c r="M10" i="54"/>
  <c r="K10" i="54"/>
  <c r="N10" i="54"/>
  <c r="L10" i="54"/>
  <c r="P10" i="54"/>
  <c r="O10" i="54"/>
  <c r="J10" i="54"/>
  <c r="M9" i="54"/>
  <c r="O9" i="54"/>
  <c r="N9" i="54"/>
  <c r="K9" i="54"/>
  <c r="P9" i="54"/>
  <c r="J9" i="54"/>
  <c r="I9" i="54"/>
  <c r="L9" i="54"/>
  <c r="M6" i="54"/>
  <c r="P6" i="54"/>
  <c r="K6" i="54"/>
  <c r="O6" i="54"/>
  <c r="L6" i="54"/>
  <c r="J6" i="54"/>
  <c r="N6" i="54"/>
  <c r="P8" i="56" l="1"/>
  <c r="Q8" i="56"/>
  <c r="I8" i="56"/>
  <c r="J8" i="56"/>
  <c r="K8" i="56"/>
  <c r="O8" i="56"/>
  <c r="N8" i="56"/>
  <c r="L8" i="56"/>
  <c r="K9" i="56"/>
  <c r="Q9" i="56"/>
  <c r="M9" i="56"/>
  <c r="L10" i="56"/>
  <c r="O10" i="56"/>
  <c r="N9" i="56"/>
  <c r="O6" i="56"/>
  <c r="O9" i="56"/>
  <c r="K6" i="56"/>
  <c r="P9" i="56"/>
  <c r="L6" i="56"/>
  <c r="I9" i="56"/>
  <c r="P6" i="56"/>
  <c r="J7" i="56"/>
  <c r="J9" i="56"/>
  <c r="Q6" i="56"/>
  <c r="I7" i="56"/>
  <c r="M6" i="56"/>
  <c r="P7" i="56"/>
  <c r="P10" i="56"/>
  <c r="I6" i="56"/>
  <c r="L7" i="56"/>
  <c r="Q10" i="56"/>
  <c r="N6" i="56"/>
  <c r="Q7" i="56"/>
  <c r="K10" i="56"/>
  <c r="O7" i="56"/>
  <c r="N10" i="56"/>
  <c r="K7" i="56"/>
  <c r="I10" i="56"/>
  <c r="N7" i="56"/>
  <c r="J10" i="56"/>
  <c r="W3" i="51" l="1"/>
  <c r="AA3" i="51" s="1" a="1"/>
  <c r="AA3" i="51" s="1"/>
  <c r="W9" i="53"/>
  <c r="AA9" i="53" s="1" a="1"/>
  <c r="AA9" i="53" s="1"/>
  <c r="W8" i="53"/>
  <c r="X8" i="53" s="1" a="1"/>
  <c r="X8" i="53" s="1"/>
  <c r="W7" i="53"/>
  <c r="Y7" i="53" s="1" a="1"/>
  <c r="Y7" i="53" s="1"/>
  <c r="W6" i="53"/>
  <c r="AC6" i="53" s="1"/>
  <c r="W5" i="53"/>
  <c r="Y5" i="53" s="1" a="1"/>
  <c r="Y5" i="53" s="1"/>
  <c r="W4" i="53"/>
  <c r="Y4" i="53" s="1" a="1"/>
  <c r="Y4" i="53" s="1"/>
  <c r="W3" i="53"/>
  <c r="Y3" i="53" s="1" a="1"/>
  <c r="Y3" i="53" s="1"/>
  <c r="D21" i="51"/>
  <c r="W7" i="51"/>
  <c r="AA7" i="51" s="1" a="1"/>
  <c r="AA7" i="51" s="1"/>
  <c r="W6" i="51"/>
  <c r="Y6" i="51" s="1" a="1"/>
  <c r="Y6" i="51" s="1"/>
  <c r="W5" i="51"/>
  <c r="Y5" i="51" s="1" a="1"/>
  <c r="Y5" i="51" s="1"/>
  <c r="W4" i="51"/>
  <c r="AB4" i="51" s="1"/>
  <c r="D22" i="50"/>
  <c r="W6" i="50"/>
  <c r="Y6" i="50" s="1" a="1"/>
  <c r="Y6" i="50" s="1"/>
  <c r="W5" i="50"/>
  <c r="Y5" i="50" s="1" a="1"/>
  <c r="Y5" i="50" s="1"/>
  <c r="W4" i="50"/>
  <c r="Y4" i="50" s="1" a="1"/>
  <c r="Y4" i="50" s="1"/>
  <c r="W3" i="50"/>
  <c r="X3" i="50" s="1" a="1"/>
  <c r="X3" i="50" s="1"/>
  <c r="AA6" i="49" a="1"/>
  <c r="AA6" i="49" s="1"/>
  <c r="W5" i="49"/>
  <c r="Y5" i="49" s="1" a="1"/>
  <c r="Y5" i="49" s="1"/>
  <c r="W4" i="49"/>
  <c r="Y4" i="49" s="1" a="1"/>
  <c r="Y4" i="49" s="1"/>
  <c r="W3" i="49"/>
  <c r="Y3" i="49" s="1" a="1"/>
  <c r="Y3" i="49" s="1"/>
  <c r="D25" i="47"/>
  <c r="D24" i="47"/>
  <c r="D23" i="47"/>
  <c r="W8" i="47"/>
  <c r="AA8" i="47" s="1" a="1"/>
  <c r="AA8" i="47" s="1"/>
  <c r="W7" i="47"/>
  <c r="Z7" i="47" s="1" a="1"/>
  <c r="Z7" i="47" s="1"/>
  <c r="W6" i="47"/>
  <c r="AC6" i="47" s="1"/>
  <c r="W5" i="47"/>
  <c r="AC5" i="47" s="1"/>
  <c r="W4" i="47"/>
  <c r="AC4" i="47" s="1"/>
  <c r="W3" i="47"/>
  <c r="AC3" i="47" s="1"/>
  <c r="D26" i="46"/>
  <c r="D25" i="46"/>
  <c r="D24" i="46"/>
  <c r="W8" i="46"/>
  <c r="AA8" i="46" s="1" a="1"/>
  <c r="AA8" i="46" s="1"/>
  <c r="W7" i="46"/>
  <c r="X7" i="46" s="1" a="1"/>
  <c r="X7" i="46" s="1"/>
  <c r="W6" i="46"/>
  <c r="AC6" i="46" s="1"/>
  <c r="W5" i="46"/>
  <c r="AC5" i="46" s="1"/>
  <c r="W4" i="46"/>
  <c r="AC4" i="46" s="1"/>
  <c r="W3" i="46"/>
  <c r="AC3" i="46" s="1"/>
  <c r="D26" i="45"/>
  <c r="D25" i="45"/>
  <c r="D24" i="45"/>
  <c r="W8" i="45"/>
  <c r="AA8" i="45" s="1" a="1"/>
  <c r="AA8" i="45" s="1"/>
  <c r="W7" i="45"/>
  <c r="AB7" i="45" s="1"/>
  <c r="W6" i="45"/>
  <c r="Z6" i="45" s="1" a="1"/>
  <c r="Z6" i="45" s="1"/>
  <c r="W5" i="45"/>
  <c r="AC5" i="45" s="1"/>
  <c r="W4" i="45"/>
  <c r="AC4" i="45" s="1"/>
  <c r="W3" i="45"/>
  <c r="AC3" i="45" s="1"/>
  <c r="D23" i="44"/>
  <c r="D22" i="44"/>
  <c r="W7" i="44"/>
  <c r="X7" i="44" s="1" a="1"/>
  <c r="X7" i="44" s="1"/>
  <c r="W6" i="44"/>
  <c r="AC6" i="44" s="1"/>
  <c r="W5" i="44"/>
  <c r="Y5" i="44" s="1" a="1"/>
  <c r="Y5" i="44" s="1"/>
  <c r="W4" i="44"/>
  <c r="Y4" i="44" s="1" a="1"/>
  <c r="Y4" i="44" s="1"/>
  <c r="W3" i="44"/>
  <c r="AB3" i="44" s="1"/>
  <c r="D23" i="43"/>
  <c r="D22" i="43"/>
  <c r="W9" i="43"/>
  <c r="AB9" i="43" s="1"/>
  <c r="W8" i="43"/>
  <c r="AB8" i="43" s="1"/>
  <c r="W7" i="43"/>
  <c r="AC7" i="43" s="1"/>
  <c r="W6" i="43"/>
  <c r="AC6" i="43" s="1"/>
  <c r="W5" i="43"/>
  <c r="Z5" i="43" s="1" a="1"/>
  <c r="Z5" i="43" s="1"/>
  <c r="W4" i="43"/>
  <c r="Z4" i="43" s="1" a="1"/>
  <c r="Z4" i="43" s="1"/>
  <c r="W3" i="43"/>
  <c r="Z3" i="43" s="1" a="1"/>
  <c r="Z3" i="43" s="1"/>
  <c r="D23" i="42"/>
  <c r="W7" i="42"/>
  <c r="AC7" i="42" s="1"/>
  <c r="W6" i="42"/>
  <c r="AC6" i="42" s="1"/>
  <c r="W5" i="42"/>
  <c r="AC5" i="42" s="1"/>
  <c r="W4" i="42"/>
  <c r="AC4" i="42" s="1"/>
  <c r="W3" i="42"/>
  <c r="AC3" i="42" s="1"/>
  <c r="D26" i="41"/>
  <c r="D25" i="41"/>
  <c r="D24" i="41"/>
  <c r="W8" i="41"/>
  <c r="AB8" i="41" s="1"/>
  <c r="W7" i="41"/>
  <c r="AA7" i="41" s="1" a="1"/>
  <c r="AA7" i="41" s="1"/>
  <c r="W6" i="41"/>
  <c r="AC6" i="41" s="1"/>
  <c r="W5" i="41"/>
  <c r="AA5" i="41" s="1" a="1"/>
  <c r="AA5" i="41" s="1"/>
  <c r="W4" i="41"/>
  <c r="AC4" i="41" s="1"/>
  <c r="W3" i="41"/>
  <c r="AC3" i="41" s="1"/>
  <c r="D23" i="40"/>
  <c r="D22" i="40"/>
  <c r="W7" i="40"/>
  <c r="X7" i="40" s="1" a="1"/>
  <c r="X7" i="40" s="1"/>
  <c r="W6" i="40"/>
  <c r="AB6" i="40" s="1"/>
  <c r="W5" i="40"/>
  <c r="AC5" i="40" s="1"/>
  <c r="W4" i="40"/>
  <c r="AC4" i="40" s="1"/>
  <c r="W3" i="40"/>
  <c r="AC3" i="40" s="1"/>
  <c r="D21" i="39"/>
  <c r="W8" i="39"/>
  <c r="Y8" i="39" s="1" a="1"/>
  <c r="Y8" i="39" s="1"/>
  <c r="W7" i="39"/>
  <c r="AA7" i="39" s="1" a="1"/>
  <c r="AA7" i="39" s="1"/>
  <c r="W6" i="39"/>
  <c r="W5" i="39"/>
  <c r="Z5" i="39" s="1" a="1"/>
  <c r="Z5" i="39" s="1"/>
  <c r="W4" i="39"/>
  <c r="Y4" i="39" s="1" a="1"/>
  <c r="Y4" i="39" s="1"/>
  <c r="W3" i="39"/>
  <c r="Z3" i="39" s="1" a="1"/>
  <c r="Z3" i="39" s="1"/>
  <c r="D21" i="38"/>
  <c r="W8" i="38"/>
  <c r="AA8" i="38" s="1" a="1"/>
  <c r="AA8" i="38" s="1"/>
  <c r="W7" i="38"/>
  <c r="Y7" i="38" s="1" a="1"/>
  <c r="Y7" i="38" s="1"/>
  <c r="W6" i="38"/>
  <c r="AC6" i="38" s="1"/>
  <c r="W5" i="38"/>
  <c r="AC5" i="38" s="1"/>
  <c r="W4" i="38"/>
  <c r="AC4" i="38" s="1"/>
  <c r="W3" i="38"/>
  <c r="AC3" i="38" s="1"/>
  <c r="D24" i="37"/>
  <c r="D23" i="37"/>
  <c r="W8" i="37"/>
  <c r="AA8" i="37" s="1" a="1"/>
  <c r="AA8" i="37" s="1"/>
  <c r="W7" i="37"/>
  <c r="AA7" i="37" s="1" a="1"/>
  <c r="AA7" i="37" s="1"/>
  <c r="W6" i="37"/>
  <c r="W5" i="37"/>
  <c r="W4" i="37"/>
  <c r="W3" i="37"/>
  <c r="D27" i="36"/>
  <c r="D26" i="36"/>
  <c r="D25" i="36"/>
  <c r="D24" i="36"/>
  <c r="W9" i="36"/>
  <c r="X9" i="36" s="1" a="1"/>
  <c r="X9" i="36" s="1"/>
  <c r="W8" i="36"/>
  <c r="AB8" i="36" s="1"/>
  <c r="W7" i="36"/>
  <c r="AA7" i="36" s="1" a="1"/>
  <c r="AA7" i="36" s="1"/>
  <c r="W6" i="36"/>
  <c r="Y6" i="36" s="1" a="1"/>
  <c r="Y6" i="36" s="1"/>
  <c r="W5" i="36"/>
  <c r="X5" i="36" s="1" a="1"/>
  <c r="X5" i="36" s="1"/>
  <c r="W4" i="36"/>
  <c r="AA4" i="36" s="1" a="1"/>
  <c r="AA4" i="36" s="1"/>
  <c r="W3" i="36"/>
  <c r="AC3" i="36" s="1"/>
  <c r="D25" i="34"/>
  <c r="D24" i="34"/>
  <c r="D23" i="34"/>
  <c r="W10" i="34"/>
  <c r="W9" i="34"/>
  <c r="W8" i="34"/>
  <c r="W7" i="34"/>
  <c r="W6" i="34"/>
  <c r="W5" i="34"/>
  <c r="W3" i="34"/>
  <c r="AA5" i="37" l="1" a="1"/>
  <c r="AA5" i="37" s="1"/>
  <c r="Y5" i="37" a="1"/>
  <c r="Y5" i="37" s="1"/>
  <c r="AC6" i="37"/>
  <c r="AA6" i="37" a="1"/>
  <c r="AA6" i="37" s="1"/>
  <c r="Y6" i="37" a="1"/>
  <c r="Y6" i="37" s="1"/>
  <c r="AA3" i="43" a="1"/>
  <c r="AA3" i="43" s="1"/>
  <c r="AB3" i="43"/>
  <c r="Z6" i="47" a="1"/>
  <c r="Z6" i="47" s="1"/>
  <c r="Z8" i="46" a="1"/>
  <c r="Z8" i="46" s="1"/>
  <c r="X8" i="46" a="1"/>
  <c r="X8" i="46" s="1"/>
  <c r="AA5" i="45" a="1"/>
  <c r="AA5" i="45" s="1"/>
  <c r="Y7" i="45" a="1"/>
  <c r="Y7" i="45" s="1"/>
  <c r="AB5" i="41"/>
  <c r="AC5" i="41"/>
  <c r="Z3" i="41" a="1"/>
  <c r="Z3" i="41" s="1"/>
  <c r="X3" i="41" a="1"/>
  <c r="X3" i="41" s="1"/>
  <c r="AA3" i="41" a="1"/>
  <c r="AA3" i="41" s="1"/>
  <c r="AB3" i="41"/>
  <c r="AD3" i="41" s="1"/>
  <c r="Y4" i="36" a="1"/>
  <c r="Y4" i="36" s="1"/>
  <c r="X4" i="36" a="1"/>
  <c r="X4" i="36" s="1"/>
  <c r="D29" i="34"/>
  <c r="X3" i="36" a="1"/>
  <c r="X3" i="36" s="1"/>
  <c r="AB7" i="39"/>
  <c r="AC7" i="39"/>
  <c r="AC8" i="41"/>
  <c r="AD8" i="41" s="1"/>
  <c r="AA7" i="38" a="1"/>
  <c r="AA7" i="38" s="1"/>
  <c r="AB8" i="38"/>
  <c r="AC8" i="38"/>
  <c r="Z7" i="38" a="1"/>
  <c r="Z7" i="38" s="1"/>
  <c r="AE7" i="38" s="1"/>
  <c r="AB7" i="38"/>
  <c r="AC7" i="38"/>
  <c r="Z6" i="38" a="1"/>
  <c r="Z6" i="38" s="1"/>
  <c r="AB6" i="38"/>
  <c r="X6" i="38" a="1"/>
  <c r="X6" i="38" s="1"/>
  <c r="Y6" i="38" a="1"/>
  <c r="Y6" i="38" s="1"/>
  <c r="AA6" i="38" a="1"/>
  <c r="AA6" i="38" s="1"/>
  <c r="AB7" i="37"/>
  <c r="AC7" i="37"/>
  <c r="AC8" i="53"/>
  <c r="AB9" i="53"/>
  <c r="AC9" i="53"/>
  <c r="Z8" i="53" a="1"/>
  <c r="Z8" i="53" s="1"/>
  <c r="AA8" i="53" a="1"/>
  <c r="AA8" i="53" s="1"/>
  <c r="AB8" i="53"/>
  <c r="Z5" i="53" a="1"/>
  <c r="Z5" i="53" s="1"/>
  <c r="AE5" i="53" s="1"/>
  <c r="AC5" i="53"/>
  <c r="AA5" i="53" a="1"/>
  <c r="AA5" i="53" s="1"/>
  <c r="AB5" i="53"/>
  <c r="Z4" i="53" a="1"/>
  <c r="Z4" i="53" s="1"/>
  <c r="AE4" i="53" s="1"/>
  <c r="AA4" i="53" a="1"/>
  <c r="AA4" i="53" s="1"/>
  <c r="AB4" i="53"/>
  <c r="AC4" i="53"/>
  <c r="Z3" i="53" a="1"/>
  <c r="Z3" i="53" s="1"/>
  <c r="AE3" i="53" s="1"/>
  <c r="AC3" i="53"/>
  <c r="AA3" i="53" a="1"/>
  <c r="AA3" i="53" s="1"/>
  <c r="AB3" i="53"/>
  <c r="AC7" i="53"/>
  <c r="AB7" i="53"/>
  <c r="AA7" i="53" a="1"/>
  <c r="AA7" i="53" s="1"/>
  <c r="Z7" i="53" a="1"/>
  <c r="Z7" i="53" s="1"/>
  <c r="AE7" i="53" s="1"/>
  <c r="X7" i="53" a="1"/>
  <c r="X7" i="53" s="1"/>
  <c r="Z6" i="53" a="1"/>
  <c r="Z6" i="53" s="1"/>
  <c r="Y6" i="53" a="1"/>
  <c r="Y6" i="53" s="1"/>
  <c r="X6" i="53" a="1"/>
  <c r="X6" i="53" s="1"/>
  <c r="AB6" i="53"/>
  <c r="X9" i="53" a="1"/>
  <c r="X9" i="53" s="1"/>
  <c r="X3" i="53" a="1"/>
  <c r="X3" i="53" s="1"/>
  <c r="X4" i="53" a="1"/>
  <c r="X4" i="53" s="1"/>
  <c r="X5" i="53" a="1"/>
  <c r="X5" i="53" s="1"/>
  <c r="Z9" i="53" a="1"/>
  <c r="Z9" i="53" s="1"/>
  <c r="AC7" i="51"/>
  <c r="AB7" i="51"/>
  <c r="Z6" i="51" a="1"/>
  <c r="Z6" i="51" s="1"/>
  <c r="AE6" i="51" s="1"/>
  <c r="AA6" i="51" a="1"/>
  <c r="AA6" i="51" s="1"/>
  <c r="AB6" i="51"/>
  <c r="AC6" i="51"/>
  <c r="Z6" i="50" a="1"/>
  <c r="Z6" i="50" s="1"/>
  <c r="AE6" i="50" s="1"/>
  <c r="AA6" i="50" a="1"/>
  <c r="AA6" i="50" s="1"/>
  <c r="AB6" i="50"/>
  <c r="AC6" i="50"/>
  <c r="AA4" i="51" a="1"/>
  <c r="AA4" i="51" s="1"/>
  <c r="AB5" i="51"/>
  <c r="AC3" i="51"/>
  <c r="AC4" i="51"/>
  <c r="AD4" i="51" s="1"/>
  <c r="AC5" i="51"/>
  <c r="X6" i="51" a="1"/>
  <c r="X6" i="51" s="1"/>
  <c r="Z7" i="51" a="1"/>
  <c r="Z7" i="51" s="1"/>
  <c r="X3" i="51" a="1"/>
  <c r="X3" i="51" s="1"/>
  <c r="X4" i="51" a="1"/>
  <c r="X4" i="51" s="1"/>
  <c r="X5" i="51" a="1"/>
  <c r="X5" i="51" s="1"/>
  <c r="Y4" i="51" a="1"/>
  <c r="Y4" i="51" s="1"/>
  <c r="Z3" i="51" a="1"/>
  <c r="Z3" i="51" s="1"/>
  <c r="Z4" i="51" a="1"/>
  <c r="Z4" i="51" s="1"/>
  <c r="Z5" i="51" a="1"/>
  <c r="Z5" i="51" s="1"/>
  <c r="AE5" i="51" s="1"/>
  <c r="AA5" i="51" a="1"/>
  <c r="AA5" i="51" s="1"/>
  <c r="AB3" i="51"/>
  <c r="Y3" i="51" a="1"/>
  <c r="Y3" i="51" s="1"/>
  <c r="X7" i="51" a="1"/>
  <c r="X7" i="51" s="1"/>
  <c r="Y7" i="51" a="1"/>
  <c r="Y7" i="51" s="1"/>
  <c r="AC5" i="50"/>
  <c r="AB5" i="50"/>
  <c r="AA5" i="50" a="1"/>
  <c r="AA5" i="50" s="1"/>
  <c r="Z5" i="50" a="1"/>
  <c r="Z5" i="50" s="1"/>
  <c r="AE5" i="50" s="1"/>
  <c r="X5" i="50" a="1"/>
  <c r="X5" i="50" s="1"/>
  <c r="AC3" i="50"/>
  <c r="AB3" i="50"/>
  <c r="AA3" i="50" a="1"/>
  <c r="AA3" i="50" s="1"/>
  <c r="Z3" i="50" a="1"/>
  <c r="Z3" i="50" s="1"/>
  <c r="Y3" i="50" a="1"/>
  <c r="Y3" i="50" s="1"/>
  <c r="AC4" i="50"/>
  <c r="AB4" i="50"/>
  <c r="AA4" i="50" a="1"/>
  <c r="AA4" i="50" s="1"/>
  <c r="Z4" i="50" a="1"/>
  <c r="Z4" i="50" s="1"/>
  <c r="AE4" i="50" s="1"/>
  <c r="X4" i="50" a="1"/>
  <c r="X4" i="50" s="1"/>
  <c r="X6" i="50" a="1"/>
  <c r="X6" i="50" s="1"/>
  <c r="AB6" i="49"/>
  <c r="AC6" i="49"/>
  <c r="AB5" i="49"/>
  <c r="Z5" i="49" a="1"/>
  <c r="Z5" i="49" s="1"/>
  <c r="AE5" i="49" s="1"/>
  <c r="AA5" i="49" a="1"/>
  <c r="AA5" i="49" s="1"/>
  <c r="AC5" i="49"/>
  <c r="Z4" i="49" a="1"/>
  <c r="Z4" i="49" s="1"/>
  <c r="AE4" i="49" s="1"/>
  <c r="AA4" i="49" a="1"/>
  <c r="AA4" i="49" s="1"/>
  <c r="AB4" i="49"/>
  <c r="AC4" i="49"/>
  <c r="Z3" i="49" a="1"/>
  <c r="Z3" i="49" s="1"/>
  <c r="AE3" i="49" s="1"/>
  <c r="AA3" i="49" a="1"/>
  <c r="AA3" i="49" s="1"/>
  <c r="AB3" i="49"/>
  <c r="AC3" i="49"/>
  <c r="X6" i="49" a="1"/>
  <c r="X6" i="49" s="1"/>
  <c r="Y6" i="49" a="1"/>
  <c r="Y6" i="49" s="1"/>
  <c r="X3" i="49" a="1"/>
  <c r="X3" i="49" s="1"/>
  <c r="X4" i="49" a="1"/>
  <c r="X4" i="49" s="1"/>
  <c r="X5" i="49" a="1"/>
  <c r="X5" i="49" s="1"/>
  <c r="Z6" i="49" a="1"/>
  <c r="Z6" i="49" s="1"/>
  <c r="AB6" i="47"/>
  <c r="X6" i="47" a="1"/>
  <c r="X6" i="47" s="1"/>
  <c r="Y6" i="47" a="1"/>
  <c r="Y6" i="47" s="1"/>
  <c r="AB8" i="47"/>
  <c r="AC8" i="47"/>
  <c r="X7" i="47" a="1"/>
  <c r="X7" i="47" s="1"/>
  <c r="AA7" i="47" a="1"/>
  <c r="AA7" i="47" s="1"/>
  <c r="AB7" i="47"/>
  <c r="Y7" i="47" a="1"/>
  <c r="Y7" i="47" s="1"/>
  <c r="AE7" i="47" s="1"/>
  <c r="AC7" i="47"/>
  <c r="Y4" i="47" a="1"/>
  <c r="Y4" i="47" s="1"/>
  <c r="Y5" i="47" a="1"/>
  <c r="Y5" i="47" s="1"/>
  <c r="AA6" i="47" a="1"/>
  <c r="AA6" i="47" s="1"/>
  <c r="X8" i="47" a="1"/>
  <c r="X8" i="47" s="1"/>
  <c r="X4" i="47" a="1"/>
  <c r="X4" i="47" s="1"/>
  <c r="Z3" i="47" a="1"/>
  <c r="Z3" i="47" s="1"/>
  <c r="Z4" i="47" a="1"/>
  <c r="Z4" i="47" s="1"/>
  <c r="Z5" i="47" a="1"/>
  <c r="Z5" i="47" s="1"/>
  <c r="Y8" i="47" a="1"/>
  <c r="Y8" i="47" s="1"/>
  <c r="Z8" i="47" a="1"/>
  <c r="Z8" i="47" s="1"/>
  <c r="X5" i="47" a="1"/>
  <c r="X5" i="47" s="1"/>
  <c r="AA3" i="47" a="1"/>
  <c r="AA3" i="47" s="1"/>
  <c r="AA5" i="47" a="1"/>
  <c r="AA5" i="47" s="1"/>
  <c r="X3" i="47" a="1"/>
  <c r="X3" i="47" s="1"/>
  <c r="AB3" i="47"/>
  <c r="AB4" i="47"/>
  <c r="AB5" i="47"/>
  <c r="AB8" i="46"/>
  <c r="AC8" i="46"/>
  <c r="Y7" i="46" a="1"/>
  <c r="Y7" i="46" s="1"/>
  <c r="Z7" i="46" a="1"/>
  <c r="Z7" i="46" s="1"/>
  <c r="AA7" i="46" a="1"/>
  <c r="AA7" i="46" s="1"/>
  <c r="AB7" i="46"/>
  <c r="AC7" i="46"/>
  <c r="Z6" i="46" a="1"/>
  <c r="Z6" i="46" s="1"/>
  <c r="X6" i="46" a="1"/>
  <c r="X6" i="46" s="1"/>
  <c r="Y6" i="46" a="1"/>
  <c r="Y6" i="46" s="1"/>
  <c r="AB5" i="46"/>
  <c r="AB4" i="46"/>
  <c r="AB3" i="46"/>
  <c r="Y3" i="46" a="1"/>
  <c r="Y3" i="46" s="1"/>
  <c r="Y4" i="46" a="1"/>
  <c r="Y4" i="46" s="1"/>
  <c r="Y5" i="46" a="1"/>
  <c r="Y5" i="46" s="1"/>
  <c r="AA6" i="46" a="1"/>
  <c r="AA6" i="46" s="1"/>
  <c r="Z3" i="46" a="1"/>
  <c r="Z3" i="46" s="1"/>
  <c r="Z4" i="46" a="1"/>
  <c r="Z4" i="46" s="1"/>
  <c r="Z5" i="46" a="1"/>
  <c r="Z5" i="46" s="1"/>
  <c r="AB6" i="46"/>
  <c r="Y8" i="46" a="1"/>
  <c r="Y8" i="46" s="1"/>
  <c r="X3" i="46" a="1"/>
  <c r="X3" i="46" s="1"/>
  <c r="X4" i="46" a="1"/>
  <c r="X4" i="46" s="1"/>
  <c r="X5" i="46" a="1"/>
  <c r="X5" i="46" s="1"/>
  <c r="AA3" i="46" a="1"/>
  <c r="AA3" i="46" s="1"/>
  <c r="AA4" i="46" a="1"/>
  <c r="AA4" i="46" s="1"/>
  <c r="AA5" i="46" a="1"/>
  <c r="AA5" i="46" s="1"/>
  <c r="Y4" i="45" a="1"/>
  <c r="Y4" i="45" s="1"/>
  <c r="Y5" i="45" a="1"/>
  <c r="Y5" i="45" s="1"/>
  <c r="Z5" i="45" a="1"/>
  <c r="Z5" i="45" s="1"/>
  <c r="AA4" i="45" a="1"/>
  <c r="AA4" i="45" s="1"/>
  <c r="Z7" i="45" a="1"/>
  <c r="Z7" i="45" s="1"/>
  <c r="AA7" i="45" a="1"/>
  <c r="AA7" i="45" s="1"/>
  <c r="Z4" i="45" a="1"/>
  <c r="Z4" i="45" s="1"/>
  <c r="AC7" i="45"/>
  <c r="AD7" i="45" s="1"/>
  <c r="X7" i="45" a="1"/>
  <c r="X7" i="45" s="1"/>
  <c r="X6" i="45" a="1"/>
  <c r="X6" i="45" s="1"/>
  <c r="Y6" i="45" a="1"/>
  <c r="Y6" i="45" s="1"/>
  <c r="AE6" i="45" s="1"/>
  <c r="AC6" i="45"/>
  <c r="AB6" i="45"/>
  <c r="Z3" i="45" a="1"/>
  <c r="Z3" i="45" s="1"/>
  <c r="Y3" i="45" a="1"/>
  <c r="Y3" i="45" s="1"/>
  <c r="AA3" i="45" a="1"/>
  <c r="AA3" i="45" s="1"/>
  <c r="AB8" i="45"/>
  <c r="AC8" i="45"/>
  <c r="X3" i="45" a="1"/>
  <c r="X3" i="45" s="1"/>
  <c r="X4" i="45" a="1"/>
  <c r="X4" i="45" s="1"/>
  <c r="X5" i="45" a="1"/>
  <c r="X5" i="45" s="1"/>
  <c r="Z8" i="45" a="1"/>
  <c r="Z8" i="45" s="1"/>
  <c r="X8" i="45" a="1"/>
  <c r="X8" i="45" s="1"/>
  <c r="AB3" i="45"/>
  <c r="AB4" i="45"/>
  <c r="AB5" i="45"/>
  <c r="AC3" i="44"/>
  <c r="AD3" i="44" s="1"/>
  <c r="X4" i="44" a="1"/>
  <c r="X4" i="44" s="1"/>
  <c r="AA4" i="44" a="1"/>
  <c r="AA4" i="44" s="1"/>
  <c r="AA3" i="44" a="1"/>
  <c r="AA3" i="44" s="1"/>
  <c r="Z4" i="44" a="1"/>
  <c r="Z4" i="44" s="1"/>
  <c r="AE4" i="44" s="1"/>
  <c r="AB4" i="44"/>
  <c r="AA5" i="44" a="1"/>
  <c r="AA5" i="44" s="1"/>
  <c r="AB5" i="44"/>
  <c r="Z5" i="44" a="1"/>
  <c r="Z5" i="44" s="1"/>
  <c r="AE5" i="44" s="1"/>
  <c r="AC5" i="44"/>
  <c r="X3" i="44" a="1"/>
  <c r="X3" i="44" s="1"/>
  <c r="AC4" i="44"/>
  <c r="Y3" i="44" a="1"/>
  <c r="Y3" i="44" s="1"/>
  <c r="Y7" i="44" a="1"/>
  <c r="Y7" i="44" s="1"/>
  <c r="Z7" i="44" a="1"/>
  <c r="Z7" i="44" s="1"/>
  <c r="AA7" i="44" a="1"/>
  <c r="AA7" i="44" s="1"/>
  <c r="AB7" i="44"/>
  <c r="X5" i="44" a="1"/>
  <c r="X5" i="44" s="1"/>
  <c r="Z3" i="44" a="1"/>
  <c r="Z3" i="44" s="1"/>
  <c r="X6" i="44" a="1"/>
  <c r="X6" i="44" s="1"/>
  <c r="Y6" i="44" a="1"/>
  <c r="Y6" i="44" s="1"/>
  <c r="Z6" i="44" a="1"/>
  <c r="Z6" i="44" s="1"/>
  <c r="AC7" i="44"/>
  <c r="AA6" i="44" a="1"/>
  <c r="AA6" i="44" s="1"/>
  <c r="AB6" i="44"/>
  <c r="AB5" i="43"/>
  <c r="Y6" i="43" a="1"/>
  <c r="Y6" i="43" s="1"/>
  <c r="X8" i="43" a="1"/>
  <c r="X8" i="43" s="1"/>
  <c r="Y8" i="43" a="1"/>
  <c r="Y8" i="43" s="1"/>
  <c r="Z8" i="43" a="1"/>
  <c r="Z8" i="43" s="1"/>
  <c r="AA8" i="43" a="1"/>
  <c r="AA8" i="43" s="1"/>
  <c r="AC8" i="43"/>
  <c r="AD8" i="43" s="1"/>
  <c r="AC9" i="43"/>
  <c r="AD9" i="43" s="1"/>
  <c r="X7" i="43" a="1"/>
  <c r="X7" i="43" s="1"/>
  <c r="Y7" i="43" a="1"/>
  <c r="Y7" i="43" s="1"/>
  <c r="Z7" i="43" a="1"/>
  <c r="Z7" i="43" s="1"/>
  <c r="AA7" i="43" a="1"/>
  <c r="AA7" i="43" s="1"/>
  <c r="AB7" i="43"/>
  <c r="X6" i="43" a="1"/>
  <c r="X6" i="43" s="1"/>
  <c r="Z6" i="43" a="1"/>
  <c r="Z6" i="43" s="1"/>
  <c r="AA6" i="43" a="1"/>
  <c r="AA6" i="43" s="1"/>
  <c r="AB6" i="43"/>
  <c r="AA5" i="43" a="1"/>
  <c r="AA5" i="43" s="1"/>
  <c r="AA4" i="43" a="1"/>
  <c r="AA4" i="43" s="1"/>
  <c r="AB4" i="43"/>
  <c r="AC3" i="43"/>
  <c r="AC4" i="43"/>
  <c r="AC5" i="43"/>
  <c r="X9" i="43" a="1"/>
  <c r="X9" i="43" s="1"/>
  <c r="Y9" i="43" a="1"/>
  <c r="Y9" i="43" s="1"/>
  <c r="X3" i="43" a="1"/>
  <c r="X3" i="43" s="1"/>
  <c r="X4" i="43" a="1"/>
  <c r="X4" i="43" s="1"/>
  <c r="X5" i="43" a="1"/>
  <c r="X5" i="43" s="1"/>
  <c r="Y3" i="43" a="1"/>
  <c r="Y3" i="43" s="1"/>
  <c r="AE3" i="43" s="1"/>
  <c r="Y4" i="43" a="1"/>
  <c r="Y4" i="43" s="1"/>
  <c r="AE4" i="43" s="1"/>
  <c r="Y5" i="43" a="1"/>
  <c r="Y5" i="43" s="1"/>
  <c r="AE5" i="43" s="1"/>
  <c r="Z9" i="43" a="1"/>
  <c r="Z9" i="43" s="1"/>
  <c r="AA9" i="43" a="1"/>
  <c r="AA9" i="43" s="1"/>
  <c r="AB7" i="42"/>
  <c r="AA5" i="42" a="1"/>
  <c r="AA5" i="42" s="1"/>
  <c r="AB5" i="42"/>
  <c r="Z5" i="42" a="1"/>
  <c r="Z5" i="42" s="1"/>
  <c r="Y5" i="42" a="1"/>
  <c r="Y5" i="42" s="1"/>
  <c r="AA7" i="42" a="1"/>
  <c r="AA7" i="42" s="1"/>
  <c r="Y4" i="42" a="1"/>
  <c r="Y4" i="42" s="1"/>
  <c r="Z4" i="42" a="1"/>
  <c r="Z4" i="42" s="1"/>
  <c r="AA4" i="42" a="1"/>
  <c r="AA4" i="42" s="1"/>
  <c r="AB4" i="42"/>
  <c r="X7" i="42" a="1"/>
  <c r="X7" i="42" s="1"/>
  <c r="Y7" i="42" a="1"/>
  <c r="Y7" i="42" s="1"/>
  <c r="Z7" i="42" a="1"/>
  <c r="Z7" i="42" s="1"/>
  <c r="Z6" i="42" a="1"/>
  <c r="Z6" i="42" s="1"/>
  <c r="X6" i="42" a="1"/>
  <c r="X6" i="42" s="1"/>
  <c r="Y6" i="42" a="1"/>
  <c r="Y6" i="42" s="1"/>
  <c r="AB6" i="42"/>
  <c r="AA6" i="42" a="1"/>
  <c r="AA6" i="42" s="1"/>
  <c r="X5" i="42" a="1"/>
  <c r="X5" i="42" s="1"/>
  <c r="X4" i="42" a="1"/>
  <c r="X4" i="42" s="1"/>
  <c r="X3" i="42" a="1"/>
  <c r="X3" i="42" s="1"/>
  <c r="Y3" i="42" a="1"/>
  <c r="Y3" i="42" s="1"/>
  <c r="Z3" i="42" a="1"/>
  <c r="Z3" i="42" s="1"/>
  <c r="AA3" i="42" a="1"/>
  <c r="AA3" i="42" s="1"/>
  <c r="AB3" i="42"/>
  <c r="X8" i="41" a="1"/>
  <c r="X8" i="41" s="1"/>
  <c r="Y8" i="41" a="1"/>
  <c r="Y8" i="41" s="1"/>
  <c r="Z8" i="41" a="1"/>
  <c r="Z8" i="41" s="1"/>
  <c r="AA8" i="41" a="1"/>
  <c r="AA8" i="41" s="1"/>
  <c r="AB7" i="41"/>
  <c r="AC7" i="41"/>
  <c r="Z7" i="41" a="1"/>
  <c r="Z7" i="41" s="1"/>
  <c r="Z6" i="41" a="1"/>
  <c r="Z6" i="41" s="1"/>
  <c r="AB6" i="41"/>
  <c r="AA6" i="41" a="1"/>
  <c r="AA6" i="41" s="1"/>
  <c r="X5" i="41" a="1"/>
  <c r="X5" i="41" s="1"/>
  <c r="Y5" i="41" a="1"/>
  <c r="Y5" i="41" s="1"/>
  <c r="Z5" i="41" a="1"/>
  <c r="Z5" i="41" s="1"/>
  <c r="Z4" i="41" a="1"/>
  <c r="Z4" i="41" s="1"/>
  <c r="X4" i="41" a="1"/>
  <c r="X4" i="41" s="1"/>
  <c r="Y3" i="41" a="1"/>
  <c r="Y3" i="41" s="1"/>
  <c r="X7" i="41" a="1"/>
  <c r="X7" i="41" s="1"/>
  <c r="Y7" i="41" a="1"/>
  <c r="Y7" i="41" s="1"/>
  <c r="X6" i="41" a="1"/>
  <c r="X6" i="41" s="1"/>
  <c r="Y4" i="41" a="1"/>
  <c r="Y4" i="41" s="1"/>
  <c r="AB4" i="41"/>
  <c r="Y6" i="41" a="1"/>
  <c r="Y6" i="41" s="1"/>
  <c r="AB5" i="40"/>
  <c r="AA7" i="40" a="1"/>
  <c r="AA7" i="40" s="1"/>
  <c r="AA4" i="40" a="1"/>
  <c r="AA4" i="40" s="1"/>
  <c r="AB4" i="40"/>
  <c r="Y3" i="40" a="1"/>
  <c r="Y3" i="40" s="1"/>
  <c r="X3" i="40" a="1"/>
  <c r="X3" i="40" s="1"/>
  <c r="Y7" i="40" a="1"/>
  <c r="Y7" i="40" s="1"/>
  <c r="Z3" i="40" a="1"/>
  <c r="Z3" i="40" s="1"/>
  <c r="Z7" i="40" a="1"/>
  <c r="Z7" i="40" s="1"/>
  <c r="AA3" i="40" a="1"/>
  <c r="AA3" i="40" s="1"/>
  <c r="AC6" i="40"/>
  <c r="AD6" i="40" s="1"/>
  <c r="X6" i="40" a="1"/>
  <c r="X6" i="40" s="1"/>
  <c r="Y6" i="40" a="1"/>
  <c r="Y6" i="40" s="1"/>
  <c r="AA6" i="40" a="1"/>
  <c r="AA6" i="40" s="1"/>
  <c r="Z6" i="40" a="1"/>
  <c r="Z6" i="40" s="1"/>
  <c r="AA5" i="40" a="1"/>
  <c r="AA5" i="40" s="1"/>
  <c r="AB3" i="40"/>
  <c r="X4" i="40" a="1"/>
  <c r="X4" i="40" s="1"/>
  <c r="X5" i="40" a="1"/>
  <c r="X5" i="40" s="1"/>
  <c r="AC7" i="40"/>
  <c r="Y5" i="40" a="1"/>
  <c r="Y5" i="40" s="1"/>
  <c r="AB7" i="40"/>
  <c r="Y4" i="40" a="1"/>
  <c r="Y4" i="40" s="1"/>
  <c r="Z4" i="40" a="1"/>
  <c r="Z4" i="40" s="1"/>
  <c r="Z5" i="40" a="1"/>
  <c r="Z5" i="40" s="1"/>
  <c r="Z8" i="39" a="1"/>
  <c r="Z8" i="39" s="1"/>
  <c r="AE8" i="39" s="1"/>
  <c r="AA8" i="39" a="1"/>
  <c r="AA8" i="39" s="1"/>
  <c r="AB8" i="39"/>
  <c r="AC8" i="39"/>
  <c r="X7" i="39" a="1"/>
  <c r="X7" i="39" s="1"/>
  <c r="Y7" i="39" a="1"/>
  <c r="Y7" i="39" s="1"/>
  <c r="Z7" i="39" a="1"/>
  <c r="Z7" i="39" s="1"/>
  <c r="AC5" i="39"/>
  <c r="AA5" i="39" a="1"/>
  <c r="AA5" i="39" s="1"/>
  <c r="AB5" i="39"/>
  <c r="AB4" i="39"/>
  <c r="AA4" i="39" a="1"/>
  <c r="AA4" i="39" s="1"/>
  <c r="AC4" i="39"/>
  <c r="AA3" i="39" a="1"/>
  <c r="AA3" i="39" s="1"/>
  <c r="AB3" i="39"/>
  <c r="AC3" i="39"/>
  <c r="AC6" i="39"/>
  <c r="Z6" i="39" a="1"/>
  <c r="Z6" i="39" s="1"/>
  <c r="Y6" i="39" a="1"/>
  <c r="Y6" i="39" s="1"/>
  <c r="AB6" i="39"/>
  <c r="AA6" i="39" a="1"/>
  <c r="AA6" i="39" s="1"/>
  <c r="X6" i="39" a="1"/>
  <c r="X6" i="39" s="1"/>
  <c r="X3" i="39" a="1"/>
  <c r="X3" i="39" s="1"/>
  <c r="X5" i="39" a="1"/>
  <c r="X5" i="39" s="1"/>
  <c r="Y3" i="39" a="1"/>
  <c r="Y3" i="39" s="1"/>
  <c r="AE3" i="39" s="1"/>
  <c r="Y5" i="39" a="1"/>
  <c r="Y5" i="39" s="1"/>
  <c r="AE5" i="39" s="1"/>
  <c r="X8" i="39" a="1"/>
  <c r="X8" i="39" s="1"/>
  <c r="Z4" i="39" a="1"/>
  <c r="Z4" i="39" s="1"/>
  <c r="AE4" i="39" s="1"/>
  <c r="X4" i="39" a="1"/>
  <c r="X4" i="39" s="1"/>
  <c r="X7" i="38" a="1"/>
  <c r="X7" i="38" s="1"/>
  <c r="Y4" i="38" a="1"/>
  <c r="Y4" i="38" s="1"/>
  <c r="X3" i="38" a="1"/>
  <c r="X3" i="38" s="1"/>
  <c r="X4" i="38" a="1"/>
  <c r="X4" i="38" s="1"/>
  <c r="Y3" i="38" a="1"/>
  <c r="Y3" i="38" s="1"/>
  <c r="Y5" i="38" a="1"/>
  <c r="Y5" i="38" s="1"/>
  <c r="Z4" i="38" a="1"/>
  <c r="Z4" i="38" s="1"/>
  <c r="X5" i="38" a="1"/>
  <c r="X5" i="38" s="1"/>
  <c r="X8" i="38" a="1"/>
  <c r="X8" i="38" s="1"/>
  <c r="Z3" i="38" a="1"/>
  <c r="Z3" i="38" s="1"/>
  <c r="Z5" i="38" a="1"/>
  <c r="Z5" i="38" s="1"/>
  <c r="Z8" i="38" a="1"/>
  <c r="Z8" i="38" s="1"/>
  <c r="Y8" i="38" a="1"/>
  <c r="Y8" i="38" s="1"/>
  <c r="AA3" i="38" a="1"/>
  <c r="AA3" i="38" s="1"/>
  <c r="AA4" i="38" a="1"/>
  <c r="AA4" i="38" s="1"/>
  <c r="AA5" i="38" a="1"/>
  <c r="AA5" i="38" s="1"/>
  <c r="AB3" i="38"/>
  <c r="AB4" i="38"/>
  <c r="AB5" i="38"/>
  <c r="Z8" i="37" a="1"/>
  <c r="Z8" i="37" s="1"/>
  <c r="AB8" i="37"/>
  <c r="AC8" i="37"/>
  <c r="X7" i="37" a="1"/>
  <c r="X7" i="37" s="1"/>
  <c r="Y7" i="37" a="1"/>
  <c r="Y7" i="37" s="1"/>
  <c r="Z7" i="37" a="1"/>
  <c r="Z7" i="37" s="1"/>
  <c r="AB6" i="37"/>
  <c r="X6" i="37" a="1"/>
  <c r="X6" i="37" s="1"/>
  <c r="Z6" i="37" a="1"/>
  <c r="Z6" i="37" s="1"/>
  <c r="AC4" i="37"/>
  <c r="AB4" i="37"/>
  <c r="Z4" i="37" a="1"/>
  <c r="Z4" i="37" s="1"/>
  <c r="Y4" i="37" a="1"/>
  <c r="Y4" i="37" s="1"/>
  <c r="X4" i="37" a="1"/>
  <c r="X4" i="37" s="1"/>
  <c r="AA4" i="37" a="1"/>
  <c r="AA4" i="37" s="1"/>
  <c r="AC5" i="37"/>
  <c r="AB5" i="37"/>
  <c r="Z5" i="37" a="1"/>
  <c r="Z5" i="37" s="1"/>
  <c r="X5" i="37" a="1"/>
  <c r="X5" i="37" s="1"/>
  <c r="AC3" i="37"/>
  <c r="AB3" i="37"/>
  <c r="Z3" i="37" a="1"/>
  <c r="Z3" i="37" s="1"/>
  <c r="Y3" i="37" a="1"/>
  <c r="Y3" i="37" s="1"/>
  <c r="X3" i="37" a="1"/>
  <c r="X3" i="37" s="1"/>
  <c r="AA3" i="37" a="1"/>
  <c r="AA3" i="37" s="1"/>
  <c r="X8" i="37" a="1"/>
  <c r="X8" i="37" s="1"/>
  <c r="Y8" i="37" a="1"/>
  <c r="Y8" i="37" s="1"/>
  <c r="AA6" i="36" a="1"/>
  <c r="AA6" i="36" s="1"/>
  <c r="AA9" i="36" a="1"/>
  <c r="AA9" i="36" s="1"/>
  <c r="Y9" i="36" a="1"/>
  <c r="Y9" i="36" s="1"/>
  <c r="AC9" i="36"/>
  <c r="Z9" i="36" a="1"/>
  <c r="Z9" i="36" s="1"/>
  <c r="AB9" i="36"/>
  <c r="AB7" i="36"/>
  <c r="AC7" i="36"/>
  <c r="Z6" i="36" a="1"/>
  <c r="Z6" i="36" s="1"/>
  <c r="AE6" i="36" s="1"/>
  <c r="AC6" i="36"/>
  <c r="AB6" i="36"/>
  <c r="Z3" i="36" a="1"/>
  <c r="Z3" i="36" s="1"/>
  <c r="Z5" i="36" a="1"/>
  <c r="Z5" i="36" s="1"/>
  <c r="Y8" i="36" a="1"/>
  <c r="Y8" i="36" s="1"/>
  <c r="AA3" i="36" a="1"/>
  <c r="AA3" i="36" s="1"/>
  <c r="AA5" i="36" a="1"/>
  <c r="AA5" i="36" s="1"/>
  <c r="AB3" i="36"/>
  <c r="AB4" i="36"/>
  <c r="AB5" i="36"/>
  <c r="Y7" i="36" a="1"/>
  <c r="Y7" i="36" s="1"/>
  <c r="AA8" i="36" a="1"/>
  <c r="AA8" i="36" s="1"/>
  <c r="Y3" i="36" a="1"/>
  <c r="Y3" i="36" s="1"/>
  <c r="Y5" i="36" a="1"/>
  <c r="Y5" i="36" s="1"/>
  <c r="AC4" i="36"/>
  <c r="AC5" i="36"/>
  <c r="X6" i="36" a="1"/>
  <c r="X6" i="36" s="1"/>
  <c r="AC8" i="36"/>
  <c r="AD8" i="36" s="1"/>
  <c r="X8" i="36" a="1"/>
  <c r="X8" i="36" s="1"/>
  <c r="Z4" i="36" a="1"/>
  <c r="Z4" i="36" s="1"/>
  <c r="X7" i="36" a="1"/>
  <c r="X7" i="36" s="1"/>
  <c r="Z8" i="36" a="1"/>
  <c r="Z8" i="36" s="1"/>
  <c r="Z7" i="36" a="1"/>
  <c r="Z7" i="36" s="1"/>
  <c r="AD6" i="43" l="1"/>
  <c r="AG6" i="43"/>
  <c r="AG5" i="43"/>
  <c r="AD7" i="43"/>
  <c r="AG7" i="43"/>
  <c r="AG3" i="43"/>
  <c r="AG4" i="43"/>
  <c r="AG8" i="43"/>
  <c r="AG5" i="47"/>
  <c r="AG7" i="40"/>
  <c r="AG3" i="50"/>
  <c r="AG6" i="50"/>
  <c r="AG4" i="50"/>
  <c r="AG5" i="50"/>
  <c r="AG7" i="51"/>
  <c r="AG6" i="51"/>
  <c r="AG3" i="51"/>
  <c r="AG5" i="51"/>
  <c r="AG4" i="51"/>
  <c r="AD3" i="43"/>
  <c r="AF3" i="43" s="1"/>
  <c r="AG4" i="53"/>
  <c r="AG5" i="53"/>
  <c r="AG9" i="53"/>
  <c r="AG6" i="53"/>
  <c r="AG7" i="53"/>
  <c r="AG8" i="53"/>
  <c r="AG3" i="53"/>
  <c r="AG8" i="47"/>
  <c r="AG7" i="47"/>
  <c r="AD6" i="47"/>
  <c r="AG6" i="47"/>
  <c r="AG4" i="47"/>
  <c r="AG3" i="47"/>
  <c r="AE6" i="47"/>
  <c r="AD7" i="42"/>
  <c r="AG7" i="42"/>
  <c r="AD6" i="42"/>
  <c r="AG6" i="42"/>
  <c r="AD5" i="42"/>
  <c r="AG5" i="42"/>
  <c r="AD4" i="42"/>
  <c r="AG4" i="42"/>
  <c r="AD3" i="42"/>
  <c r="AG3" i="42"/>
  <c r="AE8" i="46"/>
  <c r="AG8" i="46"/>
  <c r="AD5" i="46"/>
  <c r="AG5" i="46"/>
  <c r="AG6" i="46"/>
  <c r="AG7" i="46"/>
  <c r="AD3" i="46"/>
  <c r="AG3" i="46"/>
  <c r="AD4" i="46"/>
  <c r="AG4" i="46"/>
  <c r="AG4" i="44"/>
  <c r="AG5" i="49"/>
  <c r="AG6" i="49"/>
  <c r="AG3" i="49"/>
  <c r="AG4" i="49"/>
  <c r="AG8" i="39"/>
  <c r="AG6" i="39"/>
  <c r="AG3" i="39"/>
  <c r="AG4" i="39"/>
  <c r="AG5" i="39"/>
  <c r="AG7" i="39"/>
  <c r="AD7" i="39"/>
  <c r="AG4" i="38"/>
  <c r="AG3" i="38"/>
  <c r="AD6" i="38"/>
  <c r="AG6" i="38"/>
  <c r="AG8" i="38"/>
  <c r="AG5" i="38"/>
  <c r="AG7" i="38"/>
  <c r="AG8" i="45"/>
  <c r="AG5" i="45"/>
  <c r="AG4" i="45"/>
  <c r="AG3" i="45"/>
  <c r="AE5" i="45"/>
  <c r="AG6" i="45"/>
  <c r="AG7" i="45"/>
  <c r="AE7" i="45"/>
  <c r="AF7" i="45" s="1"/>
  <c r="AE3" i="41"/>
  <c r="AF3" i="41" s="1"/>
  <c r="AD6" i="41"/>
  <c r="AG6" i="41"/>
  <c r="AD4" i="41"/>
  <c r="AG4" i="41"/>
  <c r="AG3" i="41"/>
  <c r="AG7" i="41"/>
  <c r="AG5" i="41"/>
  <c r="AG8" i="41"/>
  <c r="AD5" i="41"/>
  <c r="AG6" i="44"/>
  <c r="AG5" i="44"/>
  <c r="AG7" i="44"/>
  <c r="AG3" i="44"/>
  <c r="AG3" i="40"/>
  <c r="AD4" i="40"/>
  <c r="AG4" i="40"/>
  <c r="AD5" i="40"/>
  <c r="AG5" i="40"/>
  <c r="AG6" i="40"/>
  <c r="AG4" i="37"/>
  <c r="AG5" i="37"/>
  <c r="AG3" i="37"/>
  <c r="AD6" i="37"/>
  <c r="AG6" i="37"/>
  <c r="AG7" i="37"/>
  <c r="AG8" i="37"/>
  <c r="AG9" i="36"/>
  <c r="AG3" i="36"/>
  <c r="AG6" i="36"/>
  <c r="AG7" i="36"/>
  <c r="AG4" i="36"/>
  <c r="AG8" i="36"/>
  <c r="AG5" i="36"/>
  <c r="AE3" i="50"/>
  <c r="AD8" i="38"/>
  <c r="AE7" i="44"/>
  <c r="AE6" i="44"/>
  <c r="AE3" i="44"/>
  <c r="AF3" i="44" s="1"/>
  <c r="AE6" i="38"/>
  <c r="AD7" i="38"/>
  <c r="AF7" i="38" s="1"/>
  <c r="AE4" i="45"/>
  <c r="AD7" i="37"/>
  <c r="AD5" i="53"/>
  <c r="AF5" i="53" s="1"/>
  <c r="AD8" i="53"/>
  <c r="AE8" i="53"/>
  <c r="AD4" i="53"/>
  <c r="AF4" i="53" s="1"/>
  <c r="AD3" i="53"/>
  <c r="AF3" i="53" s="1"/>
  <c r="AE6" i="53"/>
  <c r="AD9" i="53"/>
  <c r="AD6" i="53"/>
  <c r="AE9" i="53"/>
  <c r="AD7" i="53"/>
  <c r="AF7" i="53" s="1"/>
  <c r="AD7" i="51"/>
  <c r="AD6" i="51"/>
  <c r="AF6" i="51" s="1"/>
  <c r="AE7" i="51"/>
  <c r="AD6" i="50"/>
  <c r="AF6" i="50" s="1"/>
  <c r="AD3" i="51"/>
  <c r="AE4" i="51"/>
  <c r="AF4" i="51" s="1"/>
  <c r="AD5" i="51"/>
  <c r="AF5" i="51" s="1"/>
  <c r="AE3" i="51"/>
  <c r="AD3" i="50"/>
  <c r="AD4" i="50"/>
  <c r="AF4" i="50" s="1"/>
  <c r="AD5" i="50"/>
  <c r="AF5" i="50" s="1"/>
  <c r="AD6" i="49"/>
  <c r="AD3" i="49"/>
  <c r="AF3" i="49" s="1"/>
  <c r="AD4" i="49"/>
  <c r="AF4" i="49" s="1"/>
  <c r="AD5" i="49"/>
  <c r="AF5" i="49" s="1"/>
  <c r="AE6" i="49"/>
  <c r="AD7" i="47"/>
  <c r="AF7" i="47" s="1"/>
  <c r="AD8" i="47"/>
  <c r="AD4" i="47"/>
  <c r="AD5" i="47"/>
  <c r="AD3" i="47"/>
  <c r="AE5" i="47"/>
  <c r="AE4" i="47"/>
  <c r="AE3" i="47"/>
  <c r="AE8" i="47"/>
  <c r="AD7" i="46"/>
  <c r="AE6" i="46"/>
  <c r="AD8" i="46"/>
  <c r="AE7" i="46"/>
  <c r="AF7" i="46" s="1"/>
  <c r="AE5" i="46"/>
  <c r="AE4" i="46"/>
  <c r="AE3" i="46"/>
  <c r="AD6" i="46"/>
  <c r="AD6" i="45"/>
  <c r="AF6" i="45" s="1"/>
  <c r="AE3" i="45"/>
  <c r="AE8" i="45"/>
  <c r="AD8" i="45"/>
  <c r="AD5" i="45"/>
  <c r="AD4" i="45"/>
  <c r="AD3" i="45"/>
  <c r="AD4" i="44"/>
  <c r="AF4" i="44" s="1"/>
  <c r="AD5" i="44"/>
  <c r="AF5" i="44" s="1"/>
  <c r="AD7" i="44"/>
  <c r="AD6" i="44"/>
  <c r="AD5" i="43"/>
  <c r="AF5" i="43" s="1"/>
  <c r="AE8" i="43"/>
  <c r="AF8" i="43" s="1"/>
  <c r="AE6" i="43"/>
  <c r="AE7" i="43"/>
  <c r="AD4" i="43"/>
  <c r="AF4" i="43" s="1"/>
  <c r="AE9" i="43"/>
  <c r="AF9" i="43" s="1"/>
  <c r="AE5" i="42"/>
  <c r="AE4" i="42"/>
  <c r="AE7" i="42"/>
  <c r="AE6" i="42"/>
  <c r="AE3" i="42"/>
  <c r="AE7" i="41"/>
  <c r="AE4" i="41"/>
  <c r="AE8" i="41"/>
  <c r="AF8" i="41" s="1"/>
  <c r="AD7" i="41"/>
  <c r="AE6" i="41"/>
  <c r="AE5" i="41"/>
  <c r="AE7" i="40"/>
  <c r="AD3" i="40"/>
  <c r="AE6" i="40"/>
  <c r="AF6" i="40" s="1"/>
  <c r="AE4" i="40"/>
  <c r="AE3" i="40"/>
  <c r="AD7" i="40"/>
  <c r="AE5" i="40"/>
  <c r="AD5" i="39"/>
  <c r="AF5" i="39" s="1"/>
  <c r="AD8" i="39"/>
  <c r="AF8" i="39" s="1"/>
  <c r="AE6" i="39"/>
  <c r="AD4" i="39"/>
  <c r="AF4" i="39" s="1"/>
  <c r="AD3" i="39"/>
  <c r="AF3" i="39" s="1"/>
  <c r="AE7" i="39"/>
  <c r="AD6" i="39"/>
  <c r="AE8" i="38"/>
  <c r="AE5" i="38"/>
  <c r="AE3" i="38"/>
  <c r="AE4" i="38"/>
  <c r="AD3" i="38"/>
  <c r="AD5" i="38"/>
  <c r="AD4" i="38"/>
  <c r="AD8" i="37"/>
  <c r="AE7" i="37"/>
  <c r="AE8" i="37"/>
  <c r="AE6" i="37"/>
  <c r="AF6" i="37" s="1"/>
  <c r="AE5" i="37"/>
  <c r="AE4" i="37"/>
  <c r="AE3" i="37"/>
  <c r="AD4" i="37"/>
  <c r="AD3" i="37"/>
  <c r="AD5" i="37"/>
  <c r="AD9" i="36"/>
  <c r="AE3" i="36"/>
  <c r="AD6" i="36"/>
  <c r="AF6" i="36" s="1"/>
  <c r="AD7" i="36"/>
  <c r="AE9" i="36"/>
  <c r="AE8" i="36"/>
  <c r="AF8" i="36" s="1"/>
  <c r="AE5" i="36"/>
  <c r="AE4" i="36"/>
  <c r="AD4" i="36"/>
  <c r="AD3" i="36"/>
  <c r="AE7" i="36"/>
  <c r="AD5" i="36"/>
  <c r="AF4" i="42" l="1"/>
  <c r="AF8" i="46"/>
  <c r="AF6" i="43"/>
  <c r="AF7" i="43"/>
  <c r="AF6" i="47"/>
  <c r="AF3" i="42"/>
  <c r="AF5" i="42"/>
  <c r="AF7" i="42"/>
  <c r="AF6" i="42"/>
  <c r="AF5" i="46"/>
  <c r="AF3" i="46"/>
  <c r="AF6" i="46"/>
  <c r="AF4" i="46"/>
  <c r="AF5" i="40"/>
  <c r="AF7" i="39"/>
  <c r="AF8" i="38"/>
  <c r="AF6" i="38"/>
  <c r="AF5" i="45"/>
  <c r="AF4" i="41"/>
  <c r="AF6" i="41"/>
  <c r="AF5" i="41"/>
  <c r="AF4" i="40"/>
  <c r="AF4" i="37"/>
  <c r="AF4" i="45"/>
  <c r="AF7" i="37"/>
  <c r="AF8" i="53"/>
  <c r="AF9" i="53"/>
  <c r="AF6" i="53"/>
  <c r="AF7" i="51"/>
  <c r="AF3" i="51"/>
  <c r="AF3" i="50"/>
  <c r="AF6" i="49"/>
  <c r="H6" i="49" s="1" a="1"/>
  <c r="H6" i="49" s="1"/>
  <c r="AF4" i="47"/>
  <c r="AF5" i="47"/>
  <c r="AF8" i="47"/>
  <c r="AF3" i="47"/>
  <c r="AF8" i="45"/>
  <c r="AF3" i="45"/>
  <c r="AF6" i="44"/>
  <c r="AF7" i="44"/>
  <c r="AF7" i="41"/>
  <c r="AF7" i="40"/>
  <c r="AF3" i="40"/>
  <c r="AF6" i="39"/>
  <c r="AF5" i="38"/>
  <c r="AF3" i="38"/>
  <c r="AF4" i="38"/>
  <c r="AF3" i="37"/>
  <c r="AF8" i="37"/>
  <c r="AF5" i="37"/>
  <c r="AF4" i="36"/>
  <c r="AF9" i="36"/>
  <c r="AF7" i="36"/>
  <c r="AF3" i="36"/>
  <c r="AF5" i="36"/>
  <c r="H9" i="51" l="1" a="1"/>
  <c r="H9" i="51" s="1"/>
  <c r="Q9" i="51" s="1"/>
  <c r="H6" i="51" a="1"/>
  <c r="H6" i="51" s="1"/>
  <c r="H7" i="51" a="1"/>
  <c r="H7" i="51" s="1"/>
  <c r="Q7" i="51" s="1"/>
  <c r="H8" i="51" a="1"/>
  <c r="H8" i="51" s="1"/>
  <c r="Q8" i="51" s="1"/>
  <c r="H10" i="51" a="1"/>
  <c r="H10" i="51" s="1"/>
  <c r="Q10" i="51" s="1"/>
  <c r="H8" i="43" a="1"/>
  <c r="H8" i="43" s="1"/>
  <c r="L8" i="43" s="1"/>
  <c r="H11" i="43" a="1"/>
  <c r="H11" i="43" s="1"/>
  <c r="Q11" i="43" s="1"/>
  <c r="H6" i="43" a="1"/>
  <c r="H6" i="43" s="1"/>
  <c r="L6" i="43" s="1"/>
  <c r="H9" i="43" a="1"/>
  <c r="H9" i="43" s="1"/>
  <c r="Q9" i="43" s="1"/>
  <c r="H7" i="43" a="1"/>
  <c r="H7" i="43" s="1"/>
  <c r="Q7" i="43" s="1"/>
  <c r="H10" i="43" a="1"/>
  <c r="H10" i="43" s="1"/>
  <c r="Q10" i="43" s="1"/>
  <c r="H7" i="42" a="1"/>
  <c r="H7" i="42" s="1"/>
  <c r="J7" i="42" s="1"/>
  <c r="H8" i="42" a="1"/>
  <c r="H8" i="42" s="1"/>
  <c r="K8" i="42" s="1"/>
  <c r="H6" i="42" a="1"/>
  <c r="H6" i="42" s="1"/>
  <c r="K6" i="42" s="1"/>
  <c r="H10" i="42" a="1"/>
  <c r="H10" i="42" s="1"/>
  <c r="P10" i="42" s="1"/>
  <c r="H9" i="42" a="1"/>
  <c r="H9" i="42" s="1"/>
  <c r="J9" i="42" s="1"/>
  <c r="H8" i="50" a="1"/>
  <c r="H8" i="50" s="1"/>
  <c r="Q8" i="50" s="1"/>
  <c r="H6" i="50" a="1"/>
  <c r="H6" i="50" s="1"/>
  <c r="H7" i="50" a="1"/>
  <c r="H7" i="50" s="1"/>
  <c r="Q7" i="50" s="1"/>
  <c r="H9" i="50" a="1"/>
  <c r="H9" i="50" s="1"/>
  <c r="Q9" i="50" s="1"/>
  <c r="H11" i="46" a="1"/>
  <c r="H11" i="46" s="1"/>
  <c r="J11" i="46" s="1"/>
  <c r="H7" i="46" a="1"/>
  <c r="H7" i="46" s="1"/>
  <c r="H10" i="46" a="1"/>
  <c r="H10" i="46" s="1"/>
  <c r="H6" i="46" a="1"/>
  <c r="H6" i="46" s="1"/>
  <c r="H12" i="46" a="1"/>
  <c r="H12" i="46" s="1"/>
  <c r="H9" i="46" a="1"/>
  <c r="H9" i="46" s="1"/>
  <c r="H8" i="46" a="1"/>
  <c r="H8" i="46" s="1"/>
  <c r="H7" i="49" a="1"/>
  <c r="H7" i="49" s="1"/>
  <c r="Q7" i="49" s="1"/>
  <c r="H8" i="49" a="1"/>
  <c r="H8" i="49" s="1"/>
  <c r="Q8" i="49" s="1"/>
  <c r="H9" i="49" a="1"/>
  <c r="H9" i="49" s="1"/>
  <c r="Q9" i="49" s="1"/>
  <c r="I6" i="49"/>
  <c r="Q6" i="49"/>
  <c r="P6" i="49"/>
  <c r="H8" i="39" a="1"/>
  <c r="H8" i="39" s="1"/>
  <c r="Q8" i="39" s="1"/>
  <c r="H10" i="39" a="1"/>
  <c r="H10" i="39" s="1"/>
  <c r="H6" i="39" a="1"/>
  <c r="H6" i="39" s="1"/>
  <c r="H11" i="39" a="1"/>
  <c r="H11" i="39" s="1"/>
  <c r="H9" i="39" a="1"/>
  <c r="H9" i="39" s="1"/>
  <c r="H7" i="39" a="1"/>
  <c r="H7" i="39" s="1"/>
  <c r="Q7" i="39" s="1"/>
  <c r="H7" i="38" a="1"/>
  <c r="H7" i="38" s="1"/>
  <c r="H9" i="38" a="1"/>
  <c r="H9" i="38" s="1"/>
  <c r="Q9" i="38" s="1"/>
  <c r="H11" i="38" a="1"/>
  <c r="H11" i="38" s="1"/>
  <c r="H8" i="38" a="1"/>
  <c r="H8" i="38" s="1"/>
  <c r="Q8" i="38" s="1"/>
  <c r="H10" i="38" a="1"/>
  <c r="H10" i="38" s="1"/>
  <c r="Q10" i="38" s="1"/>
  <c r="H6" i="38" a="1"/>
  <c r="H6" i="38" s="1"/>
  <c r="H7" i="45" a="1"/>
  <c r="H7" i="45" s="1"/>
  <c r="Q7" i="45" s="1"/>
  <c r="H8" i="45" a="1"/>
  <c r="H8" i="45" s="1"/>
  <c r="Q8" i="45" s="1"/>
  <c r="H9" i="45" a="1"/>
  <c r="H9" i="45" s="1"/>
  <c r="Q9" i="45" s="1"/>
  <c r="H12" i="45" a="1"/>
  <c r="H12" i="45" s="1"/>
  <c r="Q12" i="45" s="1"/>
  <c r="H10" i="45" a="1"/>
  <c r="H10" i="45" s="1"/>
  <c r="Q10" i="45" s="1"/>
  <c r="H11" i="45" a="1"/>
  <c r="H11" i="45" s="1"/>
  <c r="Q11" i="45" s="1"/>
  <c r="H13" i="45" a="1"/>
  <c r="H13" i="45" s="1"/>
  <c r="Q13" i="45" s="1"/>
  <c r="H6" i="45" a="1"/>
  <c r="H6" i="45" s="1"/>
  <c r="Q6" i="45" s="1"/>
  <c r="H10" i="41" a="1"/>
  <c r="H10" i="41" s="1"/>
  <c r="L10" i="41" s="1"/>
  <c r="H11" i="41" a="1"/>
  <c r="H11" i="41" s="1"/>
  <c r="H12" i="41" a="1"/>
  <c r="H12" i="41" s="1"/>
  <c r="H9" i="41" a="1"/>
  <c r="H9" i="41" s="1"/>
  <c r="H7" i="41" a="1"/>
  <c r="H7" i="41" s="1"/>
  <c r="H13" i="41" a="1"/>
  <c r="H13" i="41" s="1"/>
  <c r="H8" i="41" a="1"/>
  <c r="H8" i="41" s="1"/>
  <c r="H6" i="41" a="1"/>
  <c r="H6" i="41" s="1"/>
  <c r="H7" i="40" a="1"/>
  <c r="H7" i="40" s="1"/>
  <c r="Q7" i="40" s="1"/>
  <c r="H8" i="40" a="1"/>
  <c r="H8" i="40" s="1"/>
  <c r="H9" i="40" a="1"/>
  <c r="H9" i="40" s="1"/>
  <c r="H10" i="40" a="1"/>
  <c r="H10" i="40" s="1"/>
  <c r="H6" i="40" a="1"/>
  <c r="H6" i="40" s="1"/>
  <c r="H10" i="37" a="1"/>
  <c r="H10" i="37" s="1"/>
  <c r="Q10" i="37" s="1"/>
  <c r="H9" i="37" a="1"/>
  <c r="H9" i="37" s="1"/>
  <c r="Q9" i="37" s="1"/>
  <c r="H11" i="37" a="1"/>
  <c r="H11" i="37" s="1"/>
  <c r="Q11" i="37" s="1"/>
  <c r="H6" i="37" a="1"/>
  <c r="H6" i="37" s="1"/>
  <c r="M6" i="37" s="1"/>
  <c r="H7" i="37" a="1"/>
  <c r="H7" i="37" s="1"/>
  <c r="Q7" i="37" s="1"/>
  <c r="H8" i="37" a="1"/>
  <c r="H8" i="37" s="1"/>
  <c r="Q8" i="37" s="1"/>
  <c r="H6" i="36" a="1"/>
  <c r="H6" i="36" s="1"/>
  <c r="H7" i="36" a="1"/>
  <c r="H7" i="36" s="1"/>
  <c r="Q7" i="36" s="1"/>
  <c r="H8" i="36" a="1"/>
  <c r="H8" i="36" s="1"/>
  <c r="Q8" i="36" s="1"/>
  <c r="H9" i="36" a="1"/>
  <c r="H9" i="36" s="1"/>
  <c r="Q9" i="36" s="1"/>
  <c r="H10" i="36" a="1"/>
  <c r="H10" i="36" s="1"/>
  <c r="Q10" i="36" s="1"/>
  <c r="H11" i="36" a="1"/>
  <c r="H11" i="36" s="1"/>
  <c r="Q11" i="36" s="1"/>
  <c r="H12" i="36" a="1"/>
  <c r="H12" i="36" s="1"/>
  <c r="M12" i="36" s="1"/>
  <c r="H8" i="44" a="1"/>
  <c r="H8" i="44" s="1"/>
  <c r="Q8" i="44" s="1"/>
  <c r="H9" i="44" a="1"/>
  <c r="H9" i="44" s="1"/>
  <c r="Q9" i="44" s="1"/>
  <c r="H7" i="44" a="1"/>
  <c r="H7" i="44" s="1"/>
  <c r="H6" i="44" a="1"/>
  <c r="H6" i="44" s="1"/>
  <c r="H10" i="44" a="1"/>
  <c r="H10" i="44" s="1"/>
  <c r="Q10" i="44" s="1"/>
  <c r="H11" i="53" a="1"/>
  <c r="H11" i="53" s="1"/>
  <c r="H9" i="53" a="1"/>
  <c r="H9" i="53" s="1"/>
  <c r="H8" i="53" a="1"/>
  <c r="H8" i="53" s="1"/>
  <c r="H6" i="53" a="1"/>
  <c r="H6" i="53" s="1"/>
  <c r="H7" i="53" a="1"/>
  <c r="H7" i="53" s="1"/>
  <c r="H10" i="53" a="1"/>
  <c r="H10" i="53" s="1"/>
  <c r="H12" i="53" a="1"/>
  <c r="H12" i="53" s="1"/>
  <c r="O6" i="49"/>
  <c r="H7" i="47" a="1"/>
  <c r="H7" i="47" s="1"/>
  <c r="H10" i="47" a="1"/>
  <c r="H10" i="47" s="1"/>
  <c r="H8" i="47" a="1"/>
  <c r="H8" i="47" s="1"/>
  <c r="K8" i="47" s="1"/>
  <c r="H6" i="47" a="1"/>
  <c r="H6" i="47" s="1"/>
  <c r="H11" i="47" a="1"/>
  <c r="H11" i="47" s="1"/>
  <c r="H9" i="47" a="1"/>
  <c r="H9" i="47" s="1"/>
  <c r="P6" i="51" l="1"/>
  <c r="Q6" i="51"/>
  <c r="Q8" i="43"/>
  <c r="M8" i="43"/>
  <c r="O8" i="43"/>
  <c r="I8" i="43"/>
  <c r="J8" i="43"/>
  <c r="N8" i="43"/>
  <c r="P8" i="43"/>
  <c r="K8" i="43"/>
  <c r="O6" i="43"/>
  <c r="I6" i="43"/>
  <c r="J6" i="43"/>
  <c r="M6" i="43"/>
  <c r="N6" i="43"/>
  <c r="K6" i="43"/>
  <c r="P6" i="43"/>
  <c r="K7" i="43"/>
  <c r="L11" i="43"/>
  <c r="P11" i="43"/>
  <c r="N11" i="43"/>
  <c r="L7" i="43"/>
  <c r="J11" i="43"/>
  <c r="M7" i="43"/>
  <c r="I11" i="43"/>
  <c r="K11" i="43"/>
  <c r="O11" i="43"/>
  <c r="Q6" i="43"/>
  <c r="M11" i="43"/>
  <c r="L9" i="43"/>
  <c r="O9" i="43"/>
  <c r="P10" i="43"/>
  <c r="N9" i="43"/>
  <c r="N7" i="43"/>
  <c r="K9" i="43"/>
  <c r="K10" i="43"/>
  <c r="P9" i="43"/>
  <c r="M10" i="43"/>
  <c r="I9" i="43"/>
  <c r="J7" i="43"/>
  <c r="N10" i="43"/>
  <c r="O10" i="43"/>
  <c r="M9" i="43"/>
  <c r="J9" i="43"/>
  <c r="O7" i="43"/>
  <c r="J10" i="43"/>
  <c r="P7" i="43"/>
  <c r="I10" i="43"/>
  <c r="I7" i="43"/>
  <c r="L10" i="43"/>
  <c r="I7" i="42"/>
  <c r="P7" i="42"/>
  <c r="M7" i="42"/>
  <c r="O7" i="42"/>
  <c r="L9" i="42"/>
  <c r="N9" i="42"/>
  <c r="J10" i="42"/>
  <c r="I10" i="42"/>
  <c r="M8" i="42"/>
  <c r="O6" i="42"/>
  <c r="N7" i="42"/>
  <c r="K7" i="42"/>
  <c r="L7" i="42"/>
  <c r="Q7" i="42"/>
  <c r="M6" i="42"/>
  <c r="P9" i="42"/>
  <c r="Q9" i="42"/>
  <c r="M10" i="42"/>
  <c r="I9" i="42"/>
  <c r="I8" i="42"/>
  <c r="Q6" i="42"/>
  <c r="L8" i="42"/>
  <c r="P6" i="42"/>
  <c r="N8" i="42"/>
  <c r="L6" i="42"/>
  <c r="J6" i="42"/>
  <c r="N6" i="42"/>
  <c r="I6" i="42"/>
  <c r="M9" i="42"/>
  <c r="O10" i="42"/>
  <c r="Q10" i="42"/>
  <c r="L10" i="42"/>
  <c r="N10" i="42"/>
  <c r="K10" i="42"/>
  <c r="J8" i="42"/>
  <c r="K9" i="42"/>
  <c r="O9" i="42"/>
  <c r="P8" i="42"/>
  <c r="Q8" i="42"/>
  <c r="O8" i="42"/>
  <c r="Q6" i="50"/>
  <c r="P6" i="50"/>
  <c r="J7" i="53"/>
  <c r="Q7" i="53"/>
  <c r="M6" i="53"/>
  <c r="Q6" i="53"/>
  <c r="P6" i="53"/>
  <c r="K12" i="53"/>
  <c r="Q12" i="53"/>
  <c r="P8" i="53"/>
  <c r="Q8" i="53"/>
  <c r="J10" i="53"/>
  <c r="Q10" i="53"/>
  <c r="J9" i="53"/>
  <c r="Q9" i="53"/>
  <c r="O11" i="53"/>
  <c r="Q11" i="53"/>
  <c r="J9" i="47"/>
  <c r="M9" i="47"/>
  <c r="P9" i="47"/>
  <c r="Q9" i="47"/>
  <c r="N7" i="47"/>
  <c r="Q7" i="47"/>
  <c r="K11" i="47"/>
  <c r="Q11" i="47"/>
  <c r="M6" i="47"/>
  <c r="P6" i="47"/>
  <c r="Q6" i="47"/>
  <c r="J8" i="47"/>
  <c r="Q8" i="47"/>
  <c r="L10" i="47"/>
  <c r="Q10" i="47"/>
  <c r="L11" i="46"/>
  <c r="N11" i="46"/>
  <c r="P11" i="46"/>
  <c r="O11" i="46"/>
  <c r="I11" i="46"/>
  <c r="Q11" i="46"/>
  <c r="M11" i="46"/>
  <c r="K11" i="46"/>
  <c r="O12" i="46"/>
  <c r="Q12" i="46"/>
  <c r="J12" i="46"/>
  <c r="M12" i="46"/>
  <c r="P12" i="46"/>
  <c r="L12" i="46"/>
  <c r="I12" i="46"/>
  <c r="N12" i="46"/>
  <c r="K12" i="46"/>
  <c r="P6" i="46"/>
  <c r="I6" i="46"/>
  <c r="M6" i="46"/>
  <c r="L6" i="46"/>
  <c r="N6" i="46"/>
  <c r="Q6" i="46"/>
  <c r="K6" i="46"/>
  <c r="J6" i="46"/>
  <c r="O6" i="46"/>
  <c r="M9" i="46"/>
  <c r="P9" i="46"/>
  <c r="N9" i="46"/>
  <c r="L9" i="46"/>
  <c r="I9" i="46"/>
  <c r="Q9" i="46"/>
  <c r="O9" i="46"/>
  <c r="K9" i="46"/>
  <c r="J9" i="46"/>
  <c r="M7" i="46"/>
  <c r="P7" i="46"/>
  <c r="N7" i="46"/>
  <c r="L7" i="46"/>
  <c r="I7" i="46"/>
  <c r="Q7" i="46"/>
  <c r="O7" i="46"/>
  <c r="K7" i="46"/>
  <c r="J7" i="46"/>
  <c r="I45" i="46"/>
  <c r="M8" i="46"/>
  <c r="P8" i="46"/>
  <c r="N8" i="46"/>
  <c r="L8" i="46"/>
  <c r="I8" i="46"/>
  <c r="Q8" i="46"/>
  <c r="O8" i="46"/>
  <c r="K8" i="46"/>
  <c r="J8" i="46"/>
  <c r="N10" i="46"/>
  <c r="Q10" i="46"/>
  <c r="J10" i="46"/>
  <c r="P10" i="46"/>
  <c r="I10" i="46"/>
  <c r="O10" i="46"/>
  <c r="M10" i="46"/>
  <c r="L10" i="46"/>
  <c r="K10" i="46"/>
  <c r="H46" i="46"/>
  <c r="K7" i="49"/>
  <c r="M6" i="44"/>
  <c r="Q6" i="44"/>
  <c r="P6" i="44"/>
  <c r="J7" i="44"/>
  <c r="Q7" i="44"/>
  <c r="J8" i="49"/>
  <c r="M9" i="49"/>
  <c r="L9" i="49"/>
  <c r="I9" i="49"/>
  <c r="P9" i="49"/>
  <c r="N9" i="49"/>
  <c r="O9" i="49"/>
  <c r="K9" i="49"/>
  <c r="J9" i="49"/>
  <c r="M8" i="39"/>
  <c r="K9" i="39"/>
  <c r="Q9" i="39"/>
  <c r="N11" i="39"/>
  <c r="Q11" i="39"/>
  <c r="O10" i="39"/>
  <c r="Q10" i="39"/>
  <c r="I6" i="39"/>
  <c r="Q6" i="39"/>
  <c r="P6" i="39"/>
  <c r="I9" i="38"/>
  <c r="I6" i="38"/>
  <c r="Q6" i="38"/>
  <c r="P6" i="38"/>
  <c r="M11" i="38"/>
  <c r="Q11" i="38"/>
  <c r="N7" i="38"/>
  <c r="Q7" i="38"/>
  <c r="P6" i="45"/>
  <c r="M6" i="45"/>
  <c r="M13" i="45"/>
  <c r="M11" i="45"/>
  <c r="M10" i="45"/>
  <c r="M12" i="45"/>
  <c r="M9" i="45"/>
  <c r="M8" i="45"/>
  <c r="M7" i="45"/>
  <c r="P7" i="45"/>
  <c r="L7" i="45"/>
  <c r="K7" i="45"/>
  <c r="J7" i="45"/>
  <c r="N7" i="45"/>
  <c r="I7" i="45"/>
  <c r="O7" i="45"/>
  <c r="K6" i="45"/>
  <c r="N6" i="45"/>
  <c r="L6" i="45"/>
  <c r="O6" i="45"/>
  <c r="J6" i="45"/>
  <c r="I6" i="45"/>
  <c r="O13" i="45"/>
  <c r="N13" i="45"/>
  <c r="L13" i="45"/>
  <c r="K13" i="45"/>
  <c r="J13" i="45"/>
  <c r="P13" i="45"/>
  <c r="I13" i="45"/>
  <c r="K11" i="45"/>
  <c r="N11" i="45"/>
  <c r="L11" i="45"/>
  <c r="J11" i="45"/>
  <c r="P11" i="45"/>
  <c r="I11" i="45"/>
  <c r="O11" i="45"/>
  <c r="K10" i="45"/>
  <c r="J10" i="45"/>
  <c r="P10" i="45"/>
  <c r="N10" i="45"/>
  <c r="L10" i="45"/>
  <c r="I10" i="45"/>
  <c r="O10" i="45"/>
  <c r="K12" i="45"/>
  <c r="N12" i="45"/>
  <c r="L12" i="45"/>
  <c r="J12" i="45"/>
  <c r="P12" i="45"/>
  <c r="I12" i="45"/>
  <c r="O12" i="45"/>
  <c r="J9" i="45"/>
  <c r="L9" i="45"/>
  <c r="K9" i="45"/>
  <c r="N9" i="45"/>
  <c r="P9" i="45"/>
  <c r="I9" i="45"/>
  <c r="O9" i="45"/>
  <c r="L8" i="45"/>
  <c r="P8" i="45"/>
  <c r="N8" i="45"/>
  <c r="I8" i="45"/>
  <c r="K8" i="45"/>
  <c r="J8" i="45"/>
  <c r="O8" i="45"/>
  <c r="I10" i="41"/>
  <c r="K10" i="41"/>
  <c r="N10" i="41"/>
  <c r="J10" i="41"/>
  <c r="Q10" i="41"/>
  <c r="M10" i="41"/>
  <c r="P10" i="41"/>
  <c r="O10" i="41"/>
  <c r="I7" i="41"/>
  <c r="M7" i="41"/>
  <c r="Q7" i="41"/>
  <c r="O7" i="41"/>
  <c r="K7" i="41"/>
  <c r="N7" i="41"/>
  <c r="P7" i="41"/>
  <c r="J7" i="41"/>
  <c r="L7" i="41"/>
  <c r="I11" i="41"/>
  <c r="N11" i="41"/>
  <c r="L11" i="41"/>
  <c r="O11" i="41"/>
  <c r="M11" i="41"/>
  <c r="Q11" i="41"/>
  <c r="K11" i="41"/>
  <c r="P11" i="41"/>
  <c r="J11" i="41"/>
  <c r="I8" i="41"/>
  <c r="M8" i="41"/>
  <c r="Q8" i="41"/>
  <c r="K8" i="41"/>
  <c r="O8" i="41"/>
  <c r="P8" i="41"/>
  <c r="J8" i="41"/>
  <c r="L8" i="41"/>
  <c r="N8" i="41"/>
  <c r="I12" i="41"/>
  <c r="N12" i="41"/>
  <c r="Q12" i="41"/>
  <c r="L12" i="41"/>
  <c r="J12" i="41"/>
  <c r="M12" i="41"/>
  <c r="K12" i="41"/>
  <c r="P12" i="41"/>
  <c r="O12" i="41"/>
  <c r="I9" i="41"/>
  <c r="L9" i="41"/>
  <c r="M9" i="41"/>
  <c r="Q9" i="41"/>
  <c r="K9" i="41"/>
  <c r="O9" i="41"/>
  <c r="P9" i="41"/>
  <c r="J9" i="41"/>
  <c r="N9" i="41"/>
  <c r="I13" i="41"/>
  <c r="P13" i="41"/>
  <c r="N13" i="41"/>
  <c r="M13" i="41"/>
  <c r="L13" i="41"/>
  <c r="Q13" i="41"/>
  <c r="K13" i="41"/>
  <c r="J13" i="41"/>
  <c r="O13" i="41"/>
  <c r="I6" i="41"/>
  <c r="P6" i="41"/>
  <c r="L6" i="41"/>
  <c r="N6" i="41"/>
  <c r="O6" i="41"/>
  <c r="K6" i="41"/>
  <c r="J6" i="41"/>
  <c r="M6" i="41"/>
  <c r="Q6" i="41"/>
  <c r="P6" i="40"/>
  <c r="Q6" i="40"/>
  <c r="M10" i="40"/>
  <c r="Q10" i="40"/>
  <c r="P9" i="40"/>
  <c r="Q9" i="40"/>
  <c r="L8" i="40"/>
  <c r="Q8" i="40"/>
  <c r="M11" i="37"/>
  <c r="N10" i="37"/>
  <c r="I9" i="37"/>
  <c r="M7" i="37"/>
  <c r="I8" i="37"/>
  <c r="Q6" i="37"/>
  <c r="P6" i="37"/>
  <c r="J12" i="36"/>
  <c r="Q12" i="36"/>
  <c r="I12" i="36"/>
  <c r="L12" i="36"/>
  <c r="K12" i="36"/>
  <c r="O12" i="36"/>
  <c r="N12" i="36"/>
  <c r="P12" i="36"/>
  <c r="Q6" i="36"/>
  <c r="P6" i="36"/>
  <c r="N7" i="36"/>
  <c r="M7" i="36"/>
  <c r="O7" i="36"/>
  <c r="K7" i="36"/>
  <c r="L7" i="36"/>
  <c r="J7" i="36"/>
  <c r="P7" i="36"/>
  <c r="I7" i="36"/>
  <c r="L9" i="36"/>
  <c r="N9" i="36"/>
  <c r="M9" i="36"/>
  <c r="O9" i="36"/>
  <c r="K9" i="36"/>
  <c r="J9" i="36"/>
  <c r="P9" i="36"/>
  <c r="I9" i="36"/>
  <c r="J10" i="36"/>
  <c r="L10" i="36"/>
  <c r="P10" i="36"/>
  <c r="M10" i="36"/>
  <c r="O10" i="36"/>
  <c r="K10" i="36"/>
  <c r="N10" i="36"/>
  <c r="I10" i="36"/>
  <c r="N8" i="36"/>
  <c r="I8" i="36"/>
  <c r="L8" i="36"/>
  <c r="M8" i="36"/>
  <c r="O8" i="36"/>
  <c r="K8" i="36"/>
  <c r="J8" i="36"/>
  <c r="P8" i="36"/>
  <c r="N6" i="36"/>
  <c r="L6" i="36"/>
  <c r="K6" i="36"/>
  <c r="I6" i="36"/>
  <c r="O6" i="36"/>
  <c r="J6" i="36"/>
  <c r="M6" i="36"/>
  <c r="I11" i="36"/>
  <c r="K11" i="36"/>
  <c r="N11" i="36"/>
  <c r="O11" i="36"/>
  <c r="L11" i="36"/>
  <c r="M11" i="36"/>
  <c r="J11" i="36"/>
  <c r="P11" i="36"/>
  <c r="O8" i="50"/>
  <c r="P8" i="50"/>
  <c r="M8" i="50"/>
  <c r="I8" i="50"/>
  <c r="J8" i="50"/>
  <c r="L8" i="50"/>
  <c r="K8" i="50"/>
  <c r="N8" i="50"/>
  <c r="M6" i="50"/>
  <c r="O6" i="50"/>
  <c r="N6" i="50"/>
  <c r="K6" i="50"/>
  <c r="L6" i="50"/>
  <c r="J6" i="50"/>
  <c r="I6" i="50"/>
  <c r="I9" i="50"/>
  <c r="J9" i="50"/>
  <c r="L9" i="50"/>
  <c r="K9" i="50"/>
  <c r="N9" i="50"/>
  <c r="O9" i="50"/>
  <c r="P9" i="50"/>
  <c r="M9" i="50"/>
  <c r="I7" i="50"/>
  <c r="J7" i="50"/>
  <c r="L7" i="50"/>
  <c r="K7" i="50"/>
  <c r="N7" i="50"/>
  <c r="O7" i="50"/>
  <c r="P7" i="50"/>
  <c r="M7" i="50"/>
  <c r="L10" i="51"/>
  <c r="P10" i="51"/>
  <c r="J10" i="51"/>
  <c r="K10" i="51"/>
  <c r="N10" i="51"/>
  <c r="I10" i="51"/>
  <c r="O10" i="51"/>
  <c r="M10" i="51"/>
  <c r="M6" i="51"/>
  <c r="O6" i="51"/>
  <c r="N6" i="51"/>
  <c r="K6" i="51"/>
  <c r="L6" i="51"/>
  <c r="J6" i="51"/>
  <c r="I6" i="51"/>
  <c r="J9" i="51"/>
  <c r="K9" i="51"/>
  <c r="M9" i="51"/>
  <c r="L9" i="51"/>
  <c r="N9" i="51"/>
  <c r="O9" i="51"/>
  <c r="P9" i="51"/>
  <c r="I9" i="51"/>
  <c r="K8" i="51"/>
  <c r="N8" i="51"/>
  <c r="O8" i="51"/>
  <c r="P8" i="51"/>
  <c r="J8" i="51"/>
  <c r="L8" i="51"/>
  <c r="I8" i="51"/>
  <c r="M8" i="51"/>
  <c r="J7" i="51"/>
  <c r="K7" i="51"/>
  <c r="L7" i="51"/>
  <c r="N7" i="51"/>
  <c r="O7" i="51"/>
  <c r="P7" i="51"/>
  <c r="M7" i="51"/>
  <c r="I7" i="51"/>
  <c r="I11" i="53"/>
  <c r="P11" i="53"/>
  <c r="M11" i="53"/>
  <c r="O9" i="53"/>
  <c r="I9" i="53"/>
  <c r="L9" i="53"/>
  <c r="K9" i="53"/>
  <c r="P9" i="53"/>
  <c r="M9" i="53"/>
  <c r="L11" i="53"/>
  <c r="N11" i="53"/>
  <c r="J11" i="53"/>
  <c r="K11" i="53"/>
  <c r="N9" i="53"/>
  <c r="N6" i="53"/>
  <c r="O6" i="53"/>
  <c r="I8" i="53"/>
  <c r="J8" i="53"/>
  <c r="K8" i="53"/>
  <c r="O8" i="53"/>
  <c r="M8" i="53"/>
  <c r="L8" i="53"/>
  <c r="N8" i="53"/>
  <c r="L7" i="53"/>
  <c r="I6" i="53"/>
  <c r="K7" i="53"/>
  <c r="N7" i="53"/>
  <c r="O7" i="53"/>
  <c r="J6" i="53"/>
  <c r="M10" i="53"/>
  <c r="I10" i="53"/>
  <c r="L10" i="53"/>
  <c r="K10" i="53"/>
  <c r="O10" i="53"/>
  <c r="P7" i="53"/>
  <c r="M7" i="53"/>
  <c r="L6" i="53"/>
  <c r="I7" i="53"/>
  <c r="K6" i="53"/>
  <c r="M12" i="53"/>
  <c r="P10" i="53"/>
  <c r="L12" i="53"/>
  <c r="N10" i="53"/>
  <c r="N12" i="53"/>
  <c r="P12" i="53"/>
  <c r="J12" i="53"/>
  <c r="O12" i="53"/>
  <c r="I12" i="53"/>
  <c r="L7" i="49"/>
  <c r="J7" i="49"/>
  <c r="N7" i="49"/>
  <c r="O7" i="49"/>
  <c r="P7" i="49"/>
  <c r="M7" i="49"/>
  <c r="N8" i="49"/>
  <c r="M8" i="49"/>
  <c r="K6" i="49"/>
  <c r="J6" i="49"/>
  <c r="N6" i="49"/>
  <c r="M6" i="49"/>
  <c r="I7" i="49"/>
  <c r="L8" i="49"/>
  <c r="L6" i="49"/>
  <c r="O8" i="49"/>
  <c r="I8" i="49"/>
  <c r="K8" i="49"/>
  <c r="P8" i="49"/>
  <c r="I7" i="47"/>
  <c r="M7" i="47"/>
  <c r="J7" i="47"/>
  <c r="O7" i="47"/>
  <c r="K7" i="47"/>
  <c r="L7" i="47"/>
  <c r="P7" i="47"/>
  <c r="N8" i="47"/>
  <c r="O8" i="47"/>
  <c r="P8" i="47"/>
  <c r="M8" i="47"/>
  <c r="L8" i="47"/>
  <c r="I10" i="47"/>
  <c r="O10" i="47"/>
  <c r="N10" i="47"/>
  <c r="P10" i="47"/>
  <c r="I8" i="47"/>
  <c r="O6" i="47"/>
  <c r="I9" i="47"/>
  <c r="M10" i="47"/>
  <c r="L9" i="47"/>
  <c r="J10" i="47"/>
  <c r="K9" i="47"/>
  <c r="O11" i="47"/>
  <c r="N11" i="47"/>
  <c r="I11" i="47"/>
  <c r="J6" i="47"/>
  <c r="N9" i="47"/>
  <c r="K6" i="47"/>
  <c r="N6" i="47"/>
  <c r="I6" i="47"/>
  <c r="O9" i="47"/>
  <c r="L6" i="47"/>
  <c r="L11" i="47"/>
  <c r="K10" i="47"/>
  <c r="P11" i="47"/>
  <c r="M11" i="47"/>
  <c r="J11" i="47"/>
  <c r="I46" i="46"/>
  <c r="H44" i="46"/>
  <c r="I44" i="46"/>
  <c r="H45" i="46"/>
  <c r="P7" i="44"/>
  <c r="N7" i="44"/>
  <c r="L7" i="44"/>
  <c r="I7" i="44"/>
  <c r="M7" i="44"/>
  <c r="O7" i="44"/>
  <c r="K7" i="44"/>
  <c r="O10" i="44"/>
  <c r="L10" i="44"/>
  <c r="N10" i="44"/>
  <c r="P10" i="44"/>
  <c r="J10" i="44"/>
  <c r="K10" i="44"/>
  <c r="M10" i="44"/>
  <c r="I10" i="44"/>
  <c r="M8" i="44"/>
  <c r="I8" i="44"/>
  <c r="N8" i="44"/>
  <c r="P8" i="44"/>
  <c r="J8" i="44"/>
  <c r="K8" i="44"/>
  <c r="O8" i="44"/>
  <c r="L8" i="44"/>
  <c r="M9" i="44"/>
  <c r="I9" i="44"/>
  <c r="L9" i="44"/>
  <c r="N9" i="44"/>
  <c r="P9" i="44"/>
  <c r="J9" i="44"/>
  <c r="K9" i="44"/>
  <c r="O9" i="44"/>
  <c r="I6" i="44"/>
  <c r="L6" i="44"/>
  <c r="N6" i="44"/>
  <c r="K6" i="44"/>
  <c r="J6" i="44"/>
  <c r="O6" i="44"/>
  <c r="I9" i="40"/>
  <c r="J9" i="40"/>
  <c r="K9" i="40"/>
  <c r="O9" i="40"/>
  <c r="M9" i="40"/>
  <c r="L9" i="40"/>
  <c r="N9" i="40"/>
  <c r="M8" i="40"/>
  <c r="O8" i="40"/>
  <c r="N8" i="40"/>
  <c r="I8" i="40"/>
  <c r="P10" i="40"/>
  <c r="I10" i="40"/>
  <c r="L10" i="40"/>
  <c r="N10" i="40"/>
  <c r="J10" i="40"/>
  <c r="P8" i="40"/>
  <c r="K10" i="40"/>
  <c r="O10" i="40"/>
  <c r="J8" i="40"/>
  <c r="K8" i="40"/>
  <c r="N6" i="40"/>
  <c r="L6" i="40"/>
  <c r="J6" i="40"/>
  <c r="M6" i="40"/>
  <c r="O6" i="40"/>
  <c r="K6" i="40"/>
  <c r="I6" i="40"/>
  <c r="I7" i="40"/>
  <c r="P7" i="40"/>
  <c r="N7" i="40"/>
  <c r="L7" i="40"/>
  <c r="M7" i="40"/>
  <c r="O7" i="40"/>
  <c r="K7" i="40"/>
  <c r="J7" i="40"/>
  <c r="O6" i="39"/>
  <c r="M6" i="39"/>
  <c r="J6" i="39"/>
  <c r="K6" i="39"/>
  <c r="L6" i="39"/>
  <c r="N6" i="39"/>
  <c r="K11" i="39"/>
  <c r="P11" i="39"/>
  <c r="M11" i="39"/>
  <c r="I11" i="39"/>
  <c r="O11" i="39"/>
  <c r="J11" i="39"/>
  <c r="L11" i="39"/>
  <c r="L7" i="39"/>
  <c r="O7" i="39"/>
  <c r="O8" i="39"/>
  <c r="J8" i="39"/>
  <c r="P8" i="39"/>
  <c r="L8" i="39"/>
  <c r="I8" i="39"/>
  <c r="N8" i="39"/>
  <c r="K8" i="39"/>
  <c r="N7" i="39"/>
  <c r="I10" i="39"/>
  <c r="O9" i="39"/>
  <c r="M7" i="39"/>
  <c r="I9" i="39"/>
  <c r="J7" i="39"/>
  <c r="K7" i="39"/>
  <c r="L9" i="39"/>
  <c r="J10" i="39"/>
  <c r="K10" i="39"/>
  <c r="N10" i="39"/>
  <c r="N9" i="39"/>
  <c r="P10" i="39"/>
  <c r="P9" i="39"/>
  <c r="I7" i="39"/>
  <c r="J9" i="39"/>
  <c r="M9" i="39"/>
  <c r="P7" i="39"/>
  <c r="M10" i="39"/>
  <c r="L10" i="39"/>
  <c r="I11" i="38"/>
  <c r="I7" i="38"/>
  <c r="J7" i="38"/>
  <c r="P7" i="38"/>
  <c r="L7" i="38"/>
  <c r="K7" i="38"/>
  <c r="O7" i="38"/>
  <c r="M7" i="38"/>
  <c r="L9" i="38"/>
  <c r="K9" i="38"/>
  <c r="K11" i="38"/>
  <c r="J11" i="38"/>
  <c r="L11" i="38"/>
  <c r="O11" i="38"/>
  <c r="P11" i="38"/>
  <c r="N11" i="38"/>
  <c r="O6" i="38"/>
  <c r="N9" i="38"/>
  <c r="N8" i="38"/>
  <c r="O9" i="38"/>
  <c r="P8" i="38"/>
  <c r="M8" i="38"/>
  <c r="I8" i="38"/>
  <c r="J8" i="38"/>
  <c r="P10" i="38"/>
  <c r="P9" i="38"/>
  <c r="L8" i="38"/>
  <c r="M6" i="38"/>
  <c r="J10" i="38"/>
  <c r="M9" i="38"/>
  <c r="J9" i="38"/>
  <c r="K8" i="38"/>
  <c r="O8" i="38"/>
  <c r="M10" i="38"/>
  <c r="N10" i="38"/>
  <c r="L6" i="38"/>
  <c r="K10" i="38"/>
  <c r="J6" i="38"/>
  <c r="I10" i="38"/>
  <c r="K6" i="38"/>
  <c r="L10" i="38"/>
  <c r="N6" i="38"/>
  <c r="O10" i="38"/>
  <c r="I11" i="37"/>
  <c r="J11" i="37"/>
  <c r="L11" i="37"/>
  <c r="K11" i="37"/>
  <c r="N11" i="37"/>
  <c r="O11" i="37"/>
  <c r="P11" i="37"/>
  <c r="K8" i="37"/>
  <c r="N8" i="37"/>
  <c r="O8" i="37"/>
  <c r="J8" i="37"/>
  <c r="M8" i="37"/>
  <c r="L8" i="37"/>
  <c r="P8" i="37"/>
  <c r="N9" i="37"/>
  <c r="O9" i="37"/>
  <c r="P9" i="37"/>
  <c r="O6" i="37"/>
  <c r="I6" i="37"/>
  <c r="J6" i="37"/>
  <c r="J9" i="37"/>
  <c r="L9" i="37"/>
  <c r="K9" i="37"/>
  <c r="M9" i="37"/>
  <c r="L6" i="37"/>
  <c r="M10" i="37"/>
  <c r="I7" i="37"/>
  <c r="N6" i="37"/>
  <c r="L7" i="37"/>
  <c r="K7" i="37"/>
  <c r="N7" i="37"/>
  <c r="O10" i="37"/>
  <c r="P10" i="37"/>
  <c r="K6" i="37"/>
  <c r="J7" i="37"/>
  <c r="I10" i="37"/>
  <c r="O7" i="37"/>
  <c r="J10" i="37"/>
  <c r="P7" i="37"/>
  <c r="L10" i="37"/>
  <c r="K10" i="37"/>
  <c r="AB7" i="34" l="1"/>
  <c r="Y7" i="34" a="1"/>
  <c r="Y7" i="34" s="1"/>
  <c r="Y3" i="34" a="1"/>
  <c r="Y3" i="34" s="1"/>
  <c r="Y6" i="34" a="1"/>
  <c r="Y6" i="34" s="1"/>
  <c r="AB8" i="34"/>
  <c r="Y8" i="34" a="1"/>
  <c r="Y8" i="34" s="1"/>
  <c r="Y10" i="34" a="1"/>
  <c r="Y10" i="34" s="1"/>
  <c r="AB9" i="34"/>
  <c r="AB10" i="34"/>
  <c r="AB5" i="34"/>
  <c r="AB6" i="34"/>
  <c r="Y9" i="34" a="1"/>
  <c r="Y9" i="34" s="1"/>
  <c r="X10" i="34" a="1"/>
  <c r="X10" i="34" s="1"/>
  <c r="AA8" i="34" a="1"/>
  <c r="AA8" i="34" s="1"/>
  <c r="AA3" i="34" a="1"/>
  <c r="AA3" i="34" s="1"/>
  <c r="Z9" i="34" a="1"/>
  <c r="Z9" i="34" s="1"/>
  <c r="AA6" i="34" a="1"/>
  <c r="AA6" i="34" s="1"/>
  <c r="X5" i="34" a="1"/>
  <c r="X5" i="34" s="1"/>
  <c r="Z3" i="34" a="1"/>
  <c r="Z3" i="34" s="1"/>
  <c r="Z6" i="34" a="1"/>
  <c r="Z6" i="34" s="1"/>
  <c r="X3" i="34" a="1"/>
  <c r="X3" i="34" s="1"/>
  <c r="AA9" i="34" a="1"/>
  <c r="AA9" i="34" s="1"/>
  <c r="Z10" i="34" a="1"/>
  <c r="Z10" i="34" s="1"/>
  <c r="Z8" i="34" a="1"/>
  <c r="Z8" i="34" s="1"/>
  <c r="AA7" i="34" a="1"/>
  <c r="AA7" i="34" s="1"/>
  <c r="AA10" i="34" a="1"/>
  <c r="AA10" i="34" s="1"/>
  <c r="AA5" i="34" a="1"/>
  <c r="AA5" i="34" s="1"/>
  <c r="Z5" i="34" a="1"/>
  <c r="Z5" i="34" s="1"/>
  <c r="X9" i="34" a="1"/>
  <c r="X9" i="34" s="1"/>
  <c r="X7" i="34" a="1"/>
  <c r="X7" i="34" s="1"/>
  <c r="X8" i="34" a="1"/>
  <c r="X8" i="34" s="1"/>
  <c r="X6" i="34" a="1"/>
  <c r="X6" i="34" s="1"/>
  <c r="Z7" i="34" a="1"/>
  <c r="Z7" i="34" s="1"/>
  <c r="AC5" i="34"/>
  <c r="AC9" i="34"/>
  <c r="AC10" i="34"/>
  <c r="AC8" i="34"/>
  <c r="AC7" i="34"/>
  <c r="AC3" i="34"/>
  <c r="AC6" i="34"/>
  <c r="Y5" i="34" a="1"/>
  <c r="Y5" i="34" s="1"/>
  <c r="AB3" i="34"/>
  <c r="AG3" i="34" l="1"/>
  <c r="AG5" i="34"/>
  <c r="AG10" i="34"/>
  <c r="AG9" i="34"/>
  <c r="AG8" i="34"/>
  <c r="AG6" i="34"/>
  <c r="AG7" i="34"/>
  <c r="AD8" i="34"/>
  <c r="AD10" i="34"/>
  <c r="AD9" i="34"/>
  <c r="AD6" i="34"/>
  <c r="AD7" i="34"/>
  <c r="AD5" i="34"/>
  <c r="AE10" i="34"/>
  <c r="AE4" i="34"/>
  <c r="AE8" i="34"/>
  <c r="AE7" i="34"/>
  <c r="AE6" i="34"/>
  <c r="AD3" i="34"/>
  <c r="AE3" i="34"/>
  <c r="AE9" i="34"/>
  <c r="AE5" i="34"/>
  <c r="AF8" i="34" l="1"/>
  <c r="AF3" i="34"/>
  <c r="AF10" i="34"/>
  <c r="AF9" i="34"/>
  <c r="AF6" i="34"/>
  <c r="AF7" i="34"/>
  <c r="AF5" i="34"/>
  <c r="AF4" i="34"/>
  <c r="H6" i="34" l="1" a="1"/>
  <c r="H6" i="34" s="1"/>
  <c r="H7" i="34" a="1"/>
  <c r="H7" i="34" s="1"/>
  <c r="Q7" i="34" s="1"/>
  <c r="H8" i="34" a="1"/>
  <c r="H8" i="34" s="1"/>
  <c r="H9" i="34" a="1"/>
  <c r="H9" i="34" s="1"/>
  <c r="Q9" i="34" s="1"/>
  <c r="H10" i="34" a="1"/>
  <c r="H10" i="34" s="1"/>
  <c r="H11" i="34" a="1"/>
  <c r="H11" i="34" s="1"/>
  <c r="H12" i="34" a="1"/>
  <c r="H12" i="34" s="1"/>
  <c r="H13" i="34" a="1"/>
  <c r="H13" i="34" s="1"/>
  <c r="H52" i="34" l="1"/>
  <c r="Q12" i="34"/>
  <c r="K11" i="34"/>
  <c r="Q11" i="34"/>
  <c r="I10" i="34"/>
  <c r="Q10" i="34"/>
  <c r="N8" i="34"/>
  <c r="Q8" i="34"/>
  <c r="P13" i="34"/>
  <c r="Q13" i="34"/>
  <c r="I6" i="34"/>
  <c r="Q6" i="34"/>
  <c r="P6" i="34"/>
  <c r="L7" i="34"/>
  <c r="J7" i="34"/>
  <c r="P9" i="34"/>
  <c r="I9" i="34"/>
  <c r="M6" i="34"/>
  <c r="K6" i="34"/>
  <c r="H54" i="34"/>
  <c r="N6" i="34"/>
  <c r="O6" i="34"/>
  <c r="L6" i="34"/>
  <c r="J6" i="34"/>
  <c r="I11" i="34"/>
  <c r="L9" i="34"/>
  <c r="M11" i="34"/>
  <c r="K7" i="34"/>
  <c r="I54" i="34"/>
  <c r="O9" i="34"/>
  <c r="H55" i="34"/>
  <c r="K9" i="34"/>
  <c r="I7" i="34"/>
  <c r="N9" i="34"/>
  <c r="M7" i="34"/>
  <c r="I53" i="34"/>
  <c r="N11" i="34"/>
  <c r="J11" i="34"/>
  <c r="P7" i="34"/>
  <c r="P11" i="34"/>
  <c r="O7" i="34"/>
  <c r="N7" i="34"/>
  <c r="J9" i="34"/>
  <c r="L11" i="34"/>
  <c r="O11" i="34"/>
  <c r="M9" i="34"/>
  <c r="L10" i="34"/>
  <c r="K10" i="34"/>
  <c r="P10" i="34"/>
  <c r="O12" i="34"/>
  <c r="J12" i="34"/>
  <c r="H53" i="34"/>
  <c r="N10" i="34"/>
  <c r="O10" i="34"/>
  <c r="M10" i="34"/>
  <c r="N12" i="34"/>
  <c r="J10" i="34"/>
  <c r="L12" i="34"/>
  <c r="I55" i="34"/>
  <c r="O8" i="34"/>
  <c r="K8" i="34"/>
  <c r="J8" i="34"/>
  <c r="M12" i="34"/>
  <c r="L13" i="34"/>
  <c r="M13" i="34"/>
  <c r="O13" i="34"/>
  <c r="J13" i="34"/>
  <c r="N13" i="34"/>
  <c r="P12" i="34"/>
  <c r="I12" i="34"/>
  <c r="M8" i="34"/>
  <c r="I52" i="34"/>
  <c r="P8" i="34"/>
  <c r="I13" i="34"/>
  <c r="I8" i="34"/>
  <c r="K13" i="34"/>
  <c r="L8" i="34"/>
  <c r="K12" i="3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<sst xmlns="http://schemas.openxmlformats.org/spreadsheetml/2006/main" count="1517" uniqueCount="150">
  <si>
    <t>GP</t>
  </si>
  <si>
    <t>W</t>
  </si>
  <si>
    <t>D</t>
  </si>
  <si>
    <t>L</t>
  </si>
  <si>
    <t>GF</t>
  </si>
  <si>
    <t>GA</t>
  </si>
  <si>
    <t>GD</t>
  </si>
  <si>
    <t>PTS</t>
  </si>
  <si>
    <t>rank</t>
  </si>
  <si>
    <t>Team name</t>
  </si>
  <si>
    <t>Table</t>
  </si>
  <si>
    <t>Nkangala B</t>
  </si>
  <si>
    <t>Johannesburg C</t>
  </si>
  <si>
    <t>Alfred Nzo</t>
  </si>
  <si>
    <t>JTG</t>
  </si>
  <si>
    <t>NMM</t>
  </si>
  <si>
    <t>:</t>
  </si>
  <si>
    <t>Forfeit Points</t>
  </si>
  <si>
    <t>uMzinyathi</t>
  </si>
  <si>
    <t>Gert Sibande</t>
  </si>
  <si>
    <t>Pixley</t>
  </si>
  <si>
    <t>Lejweleputswa</t>
  </si>
  <si>
    <t>Amathole</t>
  </si>
  <si>
    <t>Forfeit</t>
  </si>
  <si>
    <t>West Rand A</t>
  </si>
  <si>
    <t>Sekhukhune</t>
  </si>
  <si>
    <t>Bojanala</t>
  </si>
  <si>
    <t>uThukela</t>
  </si>
  <si>
    <t>Chris Hani</t>
  </si>
  <si>
    <t>Cape Town B</t>
  </si>
  <si>
    <t>Nkangala A</t>
  </si>
  <si>
    <t>Ekhurleni B</t>
  </si>
  <si>
    <t>Ilembe</t>
  </si>
  <si>
    <t>Fezile Dabi</t>
  </si>
  <si>
    <t>Capricorn B</t>
  </si>
  <si>
    <t>Waterberg</t>
  </si>
  <si>
    <t>Johannesburg B</t>
  </si>
  <si>
    <t>Capricorn A</t>
  </si>
  <si>
    <t>Buffalo City</t>
  </si>
  <si>
    <t>Frances Baard</t>
  </si>
  <si>
    <t>Royal Bafokeng</t>
  </si>
  <si>
    <t>Vhembe</t>
  </si>
  <si>
    <t>Tshwane B</t>
  </si>
  <si>
    <t>Sedibeng</t>
  </si>
  <si>
    <t>Mopani</t>
  </si>
  <si>
    <t>OR Tambo</t>
  </si>
  <si>
    <t>Cape Winelands</t>
  </si>
  <si>
    <t>NMB</t>
  </si>
  <si>
    <t>Seniors u21A</t>
  </si>
  <si>
    <t>Johannesburg A</t>
  </si>
  <si>
    <t>Tshwane A</t>
  </si>
  <si>
    <t>Dr Kenneth Kaunda</t>
  </si>
  <si>
    <t>Cape Town A</t>
  </si>
  <si>
    <t>Ekhurleni A</t>
  </si>
  <si>
    <t>Friday - 5 Dec</t>
  </si>
  <si>
    <t>Ps 5/6</t>
  </si>
  <si>
    <t>SF 1 (1 &amp; 4)</t>
  </si>
  <si>
    <t>SF 2 (2 &amp; 3)</t>
  </si>
  <si>
    <t>Senior B5</t>
  </si>
  <si>
    <t>ZFM</t>
  </si>
  <si>
    <t>Ehlanzeni B</t>
  </si>
  <si>
    <t>SANDF B</t>
  </si>
  <si>
    <t>Namakwa</t>
  </si>
  <si>
    <t>SANDF A</t>
  </si>
  <si>
    <t>Joe Gqabi</t>
  </si>
  <si>
    <t>Sarah Baartman</t>
  </si>
  <si>
    <t>Central Karoo</t>
  </si>
  <si>
    <t>Thabo Mofutsanyane</t>
  </si>
  <si>
    <t>Bojanala B</t>
  </si>
  <si>
    <t>West Coast</t>
  </si>
  <si>
    <t>Forfeits</t>
  </si>
  <si>
    <t>King Cetshwayo</t>
  </si>
  <si>
    <t>Nkangala</t>
  </si>
  <si>
    <t>Overberg</t>
  </si>
  <si>
    <t>Harry Gwala</t>
  </si>
  <si>
    <t>How to deal with forfeits?</t>
  </si>
  <si>
    <t>Zululand</t>
  </si>
  <si>
    <t>Bojanala A</t>
  </si>
  <si>
    <t>eThekwini B</t>
  </si>
  <si>
    <t>Mangaung B</t>
  </si>
  <si>
    <t>Ehlanzeni A</t>
  </si>
  <si>
    <t>Senior A</t>
  </si>
  <si>
    <t>Mangaung A</t>
  </si>
  <si>
    <t>Cape Winelands A</t>
  </si>
  <si>
    <t>NMB A</t>
  </si>
  <si>
    <t>eThekwini A</t>
  </si>
  <si>
    <t>Ps 7/8</t>
  </si>
  <si>
    <t>Points</t>
  </si>
  <si>
    <t>points for a win</t>
  </si>
  <si>
    <t>points for a draw</t>
  </si>
  <si>
    <t>points for a loss</t>
  </si>
  <si>
    <t>Want more? Visit:</t>
  </si>
  <si>
    <t>http://excel-example.com/templates/sport-tournament-template</t>
  </si>
  <si>
    <t>Dr KK A</t>
  </si>
  <si>
    <t>Seniors B1 BLUE</t>
  </si>
  <si>
    <t>Goal Average</t>
  </si>
  <si>
    <t>Goal Ave</t>
  </si>
  <si>
    <t>Seniors B1 RED</t>
  </si>
  <si>
    <t>Seniors B2 GREY</t>
  </si>
  <si>
    <t>Seniors B2 GREEN</t>
  </si>
  <si>
    <t>Seniors B3 PINK</t>
  </si>
  <si>
    <t>Thursday - 06 Aug</t>
  </si>
  <si>
    <t>Goal Ave.</t>
  </si>
  <si>
    <t>Thursday - 6 Aug</t>
  </si>
  <si>
    <t>Friday - 7 Aug</t>
  </si>
  <si>
    <t>West Rand</t>
  </si>
  <si>
    <t>uMkhanyakude</t>
  </si>
  <si>
    <t>Seniors B3 PURPLE</t>
  </si>
  <si>
    <t>Thabo M</t>
  </si>
  <si>
    <t>SAPS A</t>
  </si>
  <si>
    <t>Dr Ruth</t>
  </si>
  <si>
    <t>Seniors B4 GREY</t>
  </si>
  <si>
    <t>Seniors B4 SILVER</t>
  </si>
  <si>
    <t>Cape Town C</t>
  </si>
  <si>
    <t>JTG A</t>
  </si>
  <si>
    <t>Cape Winelands B</t>
  </si>
  <si>
    <t>DCS</t>
  </si>
  <si>
    <t>Seniors B4 WHITE</t>
  </si>
  <si>
    <t>Seniors B4 BLACK</t>
  </si>
  <si>
    <t>Xhariep</t>
  </si>
  <si>
    <t>SAPS B</t>
  </si>
  <si>
    <t>Cape Town</t>
  </si>
  <si>
    <t>Capricorn</t>
  </si>
  <si>
    <t>Mangaung</t>
  </si>
  <si>
    <t>u21 B1 BLUE</t>
  </si>
  <si>
    <t>Sedibeng A</t>
  </si>
  <si>
    <t>u21 B1 RED</t>
  </si>
  <si>
    <t>T forfeit</t>
  </si>
  <si>
    <t>u21 B2 GREEN</t>
  </si>
  <si>
    <t xml:space="preserve">u21 B2 GREY </t>
  </si>
  <si>
    <t>u21 B3 PINK</t>
  </si>
  <si>
    <t>u21 B3 PURPLE</t>
  </si>
  <si>
    <t>Sedibeng B</t>
  </si>
  <si>
    <t>TEAMS</t>
  </si>
  <si>
    <t>Played</t>
  </si>
  <si>
    <t>Win</t>
  </si>
  <si>
    <t>Draw</t>
  </si>
  <si>
    <t>Lose</t>
  </si>
  <si>
    <t>Goals +</t>
  </si>
  <si>
    <t>Goals -</t>
  </si>
  <si>
    <t>A Division u21</t>
  </si>
  <si>
    <t>Saturday - 8 Aug</t>
  </si>
  <si>
    <t>**T forfeit</t>
  </si>
  <si>
    <t>C Forfeit</t>
  </si>
  <si>
    <t>T Forfeit</t>
  </si>
  <si>
    <t>Sunday - 9 Aug</t>
  </si>
  <si>
    <t>Sunday - 9 August</t>
  </si>
  <si>
    <t>Monday - 10 Aug</t>
  </si>
  <si>
    <t>Monday - 10 August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</si>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</sst>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22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9B1E8"/>
        <bgColor indexed="64"/>
      </patternFill>
    </fill>
    <fill>
      <patternFill patternType="solid">
        <fgColor rgb="FF96009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8C6D2"/>
        <bgColor indexed="64"/>
      </patternFill>
    </fill>
    <fill>
      <patternFill patternType="solid">
        <fgColor rgb="FFB8109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2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/>
    <xf numFmtId="0" fontId="2" fillId="0" borderId="0" xfId="0" applyFont="1" applyAlignment="1">
      <alignment horizontal="center"/>
    </xf>
    <xf numFmtId="0" fontId="2" fillId="0" borderId="4" xfId="0" applyFont="1" applyBorder="1"/>
    <xf numFmtId="0" fontId="0" fillId="0" borderId="6" xfId="0" applyBorder="1"/>
    <xf numFmtId="0" fontId="2" fillId="0" borderId="5" xfId="0" applyFont="1" applyBorder="1"/>
    <xf numFmtId="0" fontId="4" fillId="0" borderId="0" xfId="1" applyAlignment="1" applyProtection="1"/>
    <xf numFmtId="0" fontId="0" fillId="0" borderId="4" xfId="0" applyBorder="1" applyProtection="1">
      <protection locked="0"/>
    </xf>
    <xf numFmtId="0" fontId="5" fillId="0" borderId="0" xfId="0" applyFont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16" fontId="0" fillId="0" borderId="27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12" xfId="0" applyFont="1" applyBorder="1"/>
    <xf numFmtId="0" fontId="3" fillId="2" borderId="10" xfId="0" applyFont="1" applyFill="1" applyBorder="1"/>
    <xf numFmtId="0" fontId="3" fillId="3" borderId="10" xfId="0" applyFont="1" applyFill="1" applyBorder="1"/>
    <xf numFmtId="0" fontId="3" fillId="4" borderId="10" xfId="0" applyFont="1" applyFill="1" applyBorder="1"/>
    <xf numFmtId="0" fontId="2" fillId="0" borderId="0" xfId="0" applyFont="1"/>
    <xf numFmtId="16" fontId="0" fillId="0" borderId="0" xfId="0" applyNumberFormat="1" applyAlignment="1">
      <alignment horizontal="center"/>
    </xf>
    <xf numFmtId="0" fontId="3" fillId="5" borderId="10" xfId="0" applyFont="1" applyFill="1" applyBorder="1"/>
    <xf numFmtId="0" fontId="3" fillId="6" borderId="10" xfId="0" applyFont="1" applyFill="1" applyBorder="1"/>
    <xf numFmtId="0" fontId="3" fillId="7" borderId="10" xfId="0" applyFont="1" applyFill="1" applyBorder="1"/>
    <xf numFmtId="0" fontId="3" fillId="8" borderId="10" xfId="0" applyFont="1" applyFill="1" applyBorder="1"/>
    <xf numFmtId="0" fontId="3" fillId="9" borderId="10" xfId="0" applyFont="1" applyFill="1" applyBorder="1"/>
    <xf numFmtId="0" fontId="3" fillId="10" borderId="10" xfId="0" applyFont="1" applyFill="1" applyBorder="1"/>
    <xf numFmtId="0" fontId="6" fillId="0" borderId="0" xfId="0" applyFont="1"/>
    <xf numFmtId="0" fontId="3" fillId="11" borderId="10" xfId="0" applyFont="1" applyFill="1" applyBorder="1"/>
    <xf numFmtId="0" fontId="0" fillId="0" borderId="11" xfId="0" applyBorder="1" applyAlignment="1">
      <alignment horizontal="center"/>
    </xf>
    <xf numFmtId="0" fontId="3" fillId="12" borderId="10" xfId="0" applyFont="1" applyFill="1" applyBorder="1"/>
    <xf numFmtId="0" fontId="0" fillId="0" borderId="29" xfId="0" applyBorder="1"/>
    <xf numFmtId="0" fontId="0" fillId="0" borderId="30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13" borderId="10" xfId="0" applyFont="1" applyFill="1" applyBorder="1"/>
    <xf numFmtId="0" fontId="7" fillId="14" borderId="10" xfId="0" applyFont="1" applyFill="1" applyBorder="1"/>
    <xf numFmtId="164" fontId="0" fillId="0" borderId="4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3" fillId="15" borderId="10" xfId="0" applyFont="1" applyFill="1" applyBorder="1"/>
    <xf numFmtId="0" fontId="3" fillId="16" borderId="10" xfId="0" applyFont="1" applyFill="1" applyBorder="1"/>
    <xf numFmtId="0" fontId="8" fillId="0" borderId="0" xfId="0" applyFont="1"/>
    <xf numFmtId="0" fontId="3" fillId="17" borderId="10" xfId="0" applyFont="1" applyFill="1" applyBorder="1"/>
    <xf numFmtId="0" fontId="3" fillId="18" borderId="10" xfId="0" applyFont="1" applyFill="1" applyBorder="1"/>
    <xf numFmtId="166" fontId="0" fillId="0" borderId="4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9" fillId="0" borderId="22" xfId="0" applyFont="1" applyBorder="1"/>
    <xf numFmtId="0" fontId="9" fillId="19" borderId="22" xfId="0" applyFont="1" applyFill="1" applyBorder="1"/>
    <xf numFmtId="0" fontId="6" fillId="0" borderId="21" xfId="0" applyFont="1" applyBorder="1"/>
    <xf numFmtId="0" fontId="6" fillId="0" borderId="4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11" xfId="0" applyNumberFormat="1" applyBorder="1" applyAlignment="1">
      <alignment horizontal="center"/>
    </xf>
    <xf numFmtId="0" fontId="11" fillId="0" borderId="0" xfId="2" applyFont="1" applyAlignment="1">
      <alignment horizontal="center"/>
    </xf>
    <xf numFmtId="0" fontId="0" fillId="16" borderId="4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0" fillId="16" borderId="18" xfId="0" applyFill="1" applyBorder="1" applyAlignment="1">
      <alignment horizontal="center"/>
    </xf>
    <xf numFmtId="0" fontId="0" fillId="16" borderId="19" xfId="0" applyFill="1" applyBorder="1" applyAlignment="1">
      <alignment horizontal="center"/>
    </xf>
    <xf numFmtId="0" fontId="6" fillId="0" borderId="4" xfId="0" applyFont="1" applyBorder="1"/>
    <xf numFmtId="0" fontId="8" fillId="13" borderId="0" xfId="0" applyFont="1" applyFill="1" applyAlignment="1">
      <alignment horizontal="center"/>
    </xf>
    <xf numFmtId="0" fontId="6" fillId="0" borderId="2" xfId="0" applyFont="1" applyBorder="1"/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19" xfId="0" applyBorder="1"/>
    <xf numFmtId="0" fontId="0" fillId="0" borderId="16" xfId="0" applyBorder="1"/>
    <xf numFmtId="0" fontId="3" fillId="2" borderId="5" xfId="0" applyFont="1" applyFill="1" applyBorder="1" applyAlignment="1">
      <alignment horizontal="center"/>
    </xf>
    <xf numFmtId="0" fontId="3" fillId="18" borderId="27" xfId="0" applyFont="1" applyFill="1" applyBorder="1" applyAlignment="1">
      <alignment horizontal="center"/>
    </xf>
    <xf numFmtId="0" fontId="3" fillId="18" borderId="0" xfId="0" applyFont="1" applyFill="1" applyAlignment="1">
      <alignment horizontal="center"/>
    </xf>
    <xf numFmtId="0" fontId="9" fillId="19" borderId="22" xfId="0" applyFont="1" applyFill="1" applyBorder="1" applyAlignment="1">
      <alignment horizontal="center"/>
    </xf>
    <xf numFmtId="0" fontId="3" fillId="9" borderId="27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6" borderId="27" xfId="0" applyFont="1" applyFill="1" applyBorder="1" applyAlignment="1">
      <alignment horizontal="center"/>
    </xf>
    <xf numFmtId="0" fontId="3" fillId="16" borderId="0" xfId="0" applyFont="1" applyFill="1" applyAlignment="1">
      <alignment horizontal="center"/>
    </xf>
    <xf numFmtId="0" fontId="3" fillId="15" borderId="27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10" borderId="27" xfId="0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3" fillId="21" borderId="27" xfId="0" applyFont="1" applyFill="1" applyBorder="1" applyAlignment="1">
      <alignment horizontal="center"/>
    </xf>
    <xf numFmtId="0" fontId="3" fillId="21" borderId="0" xfId="0" applyFont="1" applyFill="1" applyAlignment="1">
      <alignment horizontal="center"/>
    </xf>
    <xf numFmtId="0" fontId="3" fillId="20" borderId="27" xfId="0" applyFont="1" applyFill="1" applyBorder="1" applyAlignment="1">
      <alignment horizontal="center"/>
    </xf>
    <xf numFmtId="0" fontId="3" fillId="20" borderId="0" xfId="0" applyFont="1" applyFill="1" applyAlignment="1">
      <alignment horizontal="center"/>
    </xf>
    <xf numFmtId="0" fontId="3" fillId="8" borderId="27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3" fillId="12" borderId="27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3" fillId="6" borderId="27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5" borderId="27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11" borderId="27" xfId="0" applyFont="1" applyFill="1" applyBorder="1" applyAlignment="1">
      <alignment horizontal="center"/>
    </xf>
    <xf numFmtId="0" fontId="3" fillId="11" borderId="0" xfId="0" applyFont="1" applyFill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</cellXfs>
  <cellStyles count="3">
    <cellStyle name="Hyperlink" xfId="1" builtinId="8"/>
    <cellStyle name="Normal" xfId="0" builtinId="0"/>
    <cellStyle name="Normal 2" xfId="2" xr:uid="{AA2471E4-38F8-4007-AE69-7351C0E0AF2F}"/>
  </cellStyles>
  <dxfs count="0"/>
  <tableStyles count="0" defaultTableStyle="TableStyleMedium9" defaultPivotStyle="PivotStyleLight16"/>
  <colors>
    <mruColors>
      <color rgb="FFF41434"/>
      <color rgb="FFE614B4"/>
      <color rgb="FFB81090"/>
      <color rgb="FF28C6D2"/>
      <color rgb="FF960096"/>
      <color rgb="FFF9B1E8"/>
      <color rgb="FFEF435C"/>
      <color rgb="FF76B531"/>
      <color rgb="FF04723E"/>
      <color rgb="FFE41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excel-example.com/templates/sport-tournament-templat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BB0C-D790-425D-A912-5E51B341BD2C}">
  <sheetPr codeName="Sheet24">
    <tabColor rgb="FFB81090"/>
  </sheetPr>
  <dimension ref="A1:AG41"/>
  <sheetViews>
    <sheetView topLeftCell="G1" workbookViewId="0">
      <selection activeCell="E35" sqref="E35"/>
    </sheetView>
  </sheetViews>
  <sheetFormatPr defaultRowHeight="14.4" x14ac:dyDescent="0.3"/>
  <cols>
    <col min="1" max="1" width="27.21875" bestFit="1" customWidth="1"/>
    <col min="2" max="2" width="9.777343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9.777343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9" bestFit="1" customWidth="1"/>
    <col min="21" max="21" width="11.44140625" customWidth="1"/>
    <col min="23" max="23" width="10.441406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65" t="s">
        <v>131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102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Nkangala</v>
      </c>
      <c r="X3" s="2" cm="1">
        <f t="array" ref="X3">SUM(($A$16:$A$612=W3)*(ISNUMBER($C$16:$C$612)),($B$16:$B$612=W3)*(ISNUMBER($E$16:$E$612)))</f>
        <v>4</v>
      </c>
      <c r="Y3" s="3" cm="1">
        <f t="array" ref="Y3">SUMPRODUCT(($A$16:$A$612=W3)*($C$16:$C$612&gt;$E$16:$E$612)) +
 SUMPRODUCT(($B$16:$B$612=W3)*($E$16:$E$612&gt;$C$16:$C$612))</f>
        <v>3</v>
      </c>
      <c r="Z3" s="3" cm="1">
        <f t="array" ref="Z3">SUM(($A$16:$A$612=W3)*($C$16:$C$612=$E$16:$E$612)*ISNUMBER($E$16:$E$612),($B$16:$B$612=W3)*($E$16:$E$612=$C$16:$C$612)*ISNUMBER($C$16:$C$612))</f>
        <v>0</v>
      </c>
      <c r="AA3" s="3" cm="1">
        <f t="array" ref="AA3">SUM(($A$16:$A$612=W3)*($C$16:$C$612&lt;$E$16:$E$612),($B$16:$B$612=W3)*($E$16:$E$612&lt;$C$16:$C$612))</f>
        <v>1</v>
      </c>
      <c r="AB3" s="4">
        <f>SUMIF($A$16:$A$612,W3,$C$16:$C$612)+SUMIF($B$16:$B$612,W3,$E$16:$E$612)</f>
        <v>170</v>
      </c>
      <c r="AC3" s="5">
        <f>SUMIF($A$16:$A$612,W3,$E$16:$E$612)+SUMIF($B$16:$B$612,W3,$C$16:$C$612)</f>
        <v>122</v>
      </c>
      <c r="AD3" s="3">
        <f>AB3-AC3</f>
        <v>48</v>
      </c>
      <c r="AE3" s="4">
        <f>Y3*Points!$B$2+Z3*Points!$B$3</f>
        <v>6</v>
      </c>
      <c r="AF3">
        <f>AB3+AD3*10000+AE3*100000000</f>
        <v>600480170</v>
      </c>
      <c r="AG3">
        <f>AB3/AC3/X3</f>
        <v>0.34836065573770492</v>
      </c>
    </row>
    <row r="4" spans="1:33" ht="28.8" x14ac:dyDescent="0.55000000000000004">
      <c r="A4" s="6" t="s">
        <v>72</v>
      </c>
      <c r="H4" s="93" t="s">
        <v>131</v>
      </c>
      <c r="I4" s="94"/>
      <c r="J4" s="94"/>
      <c r="K4" s="94"/>
      <c r="L4" s="94"/>
      <c r="M4" s="94"/>
      <c r="N4" s="94"/>
      <c r="O4" s="94"/>
      <c r="P4" s="94"/>
      <c r="Q4" s="94"/>
      <c r="W4" s="1" t="str">
        <f>A5</f>
        <v>Pixley</v>
      </c>
      <c r="X4" s="2" cm="1">
        <f t="array" ref="X4">SUM(($A$16:$A$612=W4)*(ISNUMBER($C$16:$C$612)),($B$16:$B$612=W4)*(ISNUMBER($E$16:$E$612)))</f>
        <v>4</v>
      </c>
      <c r="Y4" s="3" cm="1">
        <f t="array" ref="Y4">SUMPRODUCT(($A$16:$A$612=W4)*($C$16:$C$612&gt;$E$16:$E$612)) +
 SUMPRODUCT(($B$16:$B$612=W4)*($E$16:$E$612&gt;$C$16:$C$612))</f>
        <v>0</v>
      </c>
      <c r="Z4" s="3" cm="1">
        <f t="array" ref="Z4">SUM(($A$16:$A$612=W4)*($C$16:$C$612=$E$16:$E$612)*ISNUMBER($E$16:$E$612),($B$16:$B$612=W4)*($E$16:$E$612=$C$16:$C$612)*ISNUMBER($C$16:$C$612))</f>
        <v>0</v>
      </c>
      <c r="AA4" s="3" cm="1">
        <f t="array" ref="AA4">SUM(($A$16:$A$612=W4)*($C$16:$C$612&lt;$E$16:$E$612),($B$16:$B$612=W4)*($E$16:$E$612&lt;$C$16:$C$612))</f>
        <v>4</v>
      </c>
      <c r="AB4" s="4">
        <f>SUMIF($A$16:$A$612,W4,$C$16:$C$612)+SUMIF($B$16:$B$612,W4,$E$16:$E$612)</f>
        <v>106</v>
      </c>
      <c r="AC4" s="5">
        <f>SUMIF($A$16:$A$612,W4,$E$16:$E$612)+SUMIF($B$16:$B$612,W4,$C$16:$C$612)</f>
        <v>186</v>
      </c>
      <c r="AD4" s="3">
        <f t="shared" ref="AD4" si="0">AB4-AC4</f>
        <v>-80</v>
      </c>
      <c r="AE4" s="4">
        <f>Y4*Points!$B$2+Z4*Points!$B$3</f>
        <v>0</v>
      </c>
      <c r="AF4">
        <f t="shared" ref="AF4" si="1">AB4+AD4*10000+AE4*100000000</f>
        <v>-799894</v>
      </c>
      <c r="AG4">
        <f t="shared" ref="AG4:AG7" si="2">AB4/AC4/X4</f>
        <v>0.1424731182795699</v>
      </c>
    </row>
    <row r="5" spans="1:33" x14ac:dyDescent="0.3">
      <c r="A5" s="6" t="s">
        <v>20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Sedibeng B</v>
      </c>
      <c r="X5" s="2" cm="1">
        <f t="array" ref="X5">SUM(($A$16:$A$612=W5)*(ISNUMBER($C$16:$C$612)),($B$16:$B$612=W5)*(ISNUMBER($E$16:$E$612)))</f>
        <v>4</v>
      </c>
      <c r="Y5" s="3" cm="1">
        <f t="array" ref="Y5">SUMPRODUCT(($A$16:$A$612=W5)*($C$16:$C$612&gt;$E$16:$E$612)) +
 SUMPRODUCT(($B$16:$B$612=W5)*($E$16:$E$612&gt;$C$16:$C$612))</f>
        <v>3</v>
      </c>
      <c r="Z5" s="3" cm="1">
        <f t="array" ref="Z5">SUM(($A$16:$A$612=W5)*($C$16:$C$612=$E$16:$E$612)*ISNUMBER($E$16:$E$612),($B$16:$B$612=W5)*($E$16:$E$612=$C$16:$C$612)*ISNUMBER($C$16:$C$612))</f>
        <v>0</v>
      </c>
      <c r="AA5" s="3" cm="1">
        <f t="array" ref="AA5">SUM(($A$16:$A$612=W5)*($C$16:$C$612&lt;$E$16:$E$612),($B$16:$B$612=W5)*($E$16:$E$612&lt;$C$16:$C$612))</f>
        <v>1</v>
      </c>
      <c r="AB5" s="4">
        <f>SUMIF($A$16:$A$612,W5,$C$16:$C$612)+SUMIF($B$16:$B$612,W5,$E$16:$E$612)</f>
        <v>157</v>
      </c>
      <c r="AC5" s="5">
        <f>SUMIF($A$16:$A$612,W5,$E$16:$E$612)+SUMIF($B$16:$B$612,W5,$C$16:$C$612)</f>
        <v>124</v>
      </c>
      <c r="AD5" s="3">
        <f>AB5-AC5</f>
        <v>33</v>
      </c>
      <c r="AE5" s="4">
        <f>Y5*Points!$B$2+Z5*Points!$B$3</f>
        <v>6</v>
      </c>
      <c r="AF5">
        <f>AB5+AD5*10000+AE5*100000000</f>
        <v>600330157</v>
      </c>
      <c r="AG5">
        <f t="shared" si="2"/>
        <v>0.31653225806451613</v>
      </c>
    </row>
    <row r="6" spans="1:33" x14ac:dyDescent="0.3">
      <c r="A6" s="6" t="s">
        <v>132</v>
      </c>
      <c r="H6" s="6" t="str" cm="1">
        <f t="array" ref="H6">INDEX($W$3:$W$7,MATCH(LARGE($AF$3:$AF$7-ROW($AF$3:$AF$7)/COUNT($AF$3:$AF$7),ROW(H6)-ROW(H$6)+1),$AF$3:$AF$7-ROW($AF$3:$AF$7)/COUNT($AF$3:$AF$7),0))</f>
        <v>Nkangala</v>
      </c>
      <c r="I6" s="7">
        <f>VLOOKUP($H6,$W$3:$AE$9,2,0)</f>
        <v>4</v>
      </c>
      <c r="J6" s="7">
        <f>VLOOKUP($H6,$W$3:$AE$9,3,0)</f>
        <v>3</v>
      </c>
      <c r="K6" s="7">
        <f>VLOOKUP($H6,$W$3:$AE$9,5,0)</f>
        <v>1</v>
      </c>
      <c r="L6" s="7">
        <f>VLOOKUP($H6,$W$3:$AE$9,4,0)</f>
        <v>0</v>
      </c>
      <c r="M6" s="7">
        <f>VLOOKUP($H6,$W$3:$AE$9,9,0)</f>
        <v>6</v>
      </c>
      <c r="N6" s="7">
        <f>VLOOKUP($H6,$W$3:$AE$9,6,0)</f>
        <v>170</v>
      </c>
      <c r="O6" s="7">
        <f>VLOOKUP($H6,$W$3:$AE$9,7,0)</f>
        <v>122</v>
      </c>
      <c r="P6" s="7">
        <f>VLOOKUP($H6,$W$3:$AE$9,8,0)</f>
        <v>48</v>
      </c>
      <c r="Q6" s="60">
        <f>VLOOKUP($H6,$W$3:$AG$9,11,0)</f>
        <v>0.34836065573770492</v>
      </c>
      <c r="W6" s="1" t="str">
        <f t="shared" ref="W6:W7" si="3">A7</f>
        <v>NMM</v>
      </c>
      <c r="X6" s="2" cm="1">
        <f t="array" ref="X6">SUM(($A$16:$A$612=W6)*(ISNUMBER($C$16:$C$612)),($B$16:$B$612=W6)*(ISNUMBER($E$16:$E$612)))</f>
        <v>4</v>
      </c>
      <c r="Y6" s="3" cm="1">
        <f t="array" ref="Y6">SUMPRODUCT(($A$16:$A$612=W6)*($C$16:$C$612&gt;$E$16:$E$612)) +
 SUMPRODUCT(($B$16:$B$612=W6)*($E$16:$E$612&gt;$C$16:$C$612))</f>
        <v>1</v>
      </c>
      <c r="Z6" s="3" cm="1">
        <f t="array" ref="Z6">SUM(($A$16:$A$612=W6)*($C$16:$C$612=$E$16:$E$612)*ISNUMBER($E$16:$E$612),($B$16:$B$612=W6)*($E$16:$E$612=$C$16:$C$612)*ISNUMBER($C$16:$C$612))</f>
        <v>0</v>
      </c>
      <c r="AA6" s="3" cm="1">
        <f t="array" ref="AA6">SUM(($A$16:$A$612=W6)*($C$16:$C$612&lt;$E$16:$E$612),($B$16:$B$612=W6)*($E$16:$E$612&lt;$C$16:$C$612))</f>
        <v>3</v>
      </c>
      <c r="AB6" s="4">
        <f>SUMIF($A$16:$A$612,W6,$C$16:$C$612)+SUMIF($B$16:$B$612,W6,$E$16:$E$612)</f>
        <v>147</v>
      </c>
      <c r="AC6" s="5">
        <f>SUMIF($A$16:$A$612,W6,$E$16:$E$612)+SUMIF($B$16:$B$612,W6,$C$16:$C$612)</f>
        <v>162</v>
      </c>
      <c r="AD6" s="3">
        <f t="shared" ref="AD6:AD7" si="4">AB6-AC6</f>
        <v>-15</v>
      </c>
      <c r="AE6" s="4">
        <f>Y6*Points!$B$2+Z6*Points!$B$3</f>
        <v>2</v>
      </c>
      <c r="AF6">
        <f t="shared" ref="AF6:AF7" si="5">AB6+AD6*10000+AE6*100000000</f>
        <v>199850147</v>
      </c>
      <c r="AG6">
        <f t="shared" si="2"/>
        <v>0.22685185185185186</v>
      </c>
    </row>
    <row r="7" spans="1:33" x14ac:dyDescent="0.3">
      <c r="A7" s="6" t="s">
        <v>15</v>
      </c>
      <c r="H7" s="6" t="str" cm="1">
        <f t="array" ref="H7">INDEX($W$3:$W$7,MATCH(LARGE($AF$3:$AF$7-ROW($AF$3:$AF$7)/COUNT($AF$3:$AF$7),ROW(H7)-ROW(H$6)+1),$AF$3:$AF$7-ROW($AF$3:$AF$7)/COUNT($AF$3:$AF$7),0))</f>
        <v>Sedibeng B</v>
      </c>
      <c r="I7" s="7">
        <f t="shared" ref="I7:I10" si="6">VLOOKUP($H7,$W$3:$AE$9,2,0)</f>
        <v>4</v>
      </c>
      <c r="J7" s="7">
        <f t="shared" ref="J7:J10" si="7">VLOOKUP($H7,$W$3:$AE$9,3,0)</f>
        <v>3</v>
      </c>
      <c r="K7" s="7">
        <f t="shared" ref="K7:K10" si="8">VLOOKUP($H7,$W$3:$AE$9,5,0)</f>
        <v>1</v>
      </c>
      <c r="L7" s="7">
        <f t="shared" ref="L7:L10" si="9">VLOOKUP($H7,$W$3:$AE$9,4,0)</f>
        <v>0</v>
      </c>
      <c r="M7" s="7">
        <f t="shared" ref="M7:M10" si="10">VLOOKUP($H7,$W$3:$AE$9,9,0)</f>
        <v>6</v>
      </c>
      <c r="N7" s="7">
        <f t="shared" ref="N7:N10" si="11">VLOOKUP($H7,$W$3:$AE$9,6,0)</f>
        <v>157</v>
      </c>
      <c r="O7" s="7">
        <f t="shared" ref="O7:O10" si="12">VLOOKUP($H7,$W$3:$AE$9,7,0)</f>
        <v>124</v>
      </c>
      <c r="P7" s="7">
        <f t="shared" ref="P7:P10" si="13">VLOOKUP($H7,$W$3:$AE$9,8,0)</f>
        <v>33</v>
      </c>
      <c r="Q7" s="60">
        <f t="shared" ref="Q7:Q10" si="14">VLOOKUP($H7,$W$3:$AG$9,11,0)</f>
        <v>0.31653225806451613</v>
      </c>
      <c r="W7" s="1" t="str">
        <f t="shared" si="3"/>
        <v>Amathole</v>
      </c>
      <c r="X7" s="2" cm="1">
        <f t="array" ref="X7">SUM(($A$16:$A$612=W7)*(ISNUMBER($C$16:$C$612)),($B$16:$B$612=W7)*(ISNUMBER($E$16:$E$612)))</f>
        <v>4</v>
      </c>
      <c r="Y7" s="3" cm="1">
        <f t="array" ref="Y7">SUMPRODUCT(($A$16:$A$612=W7)*($C$16:$C$612&gt;$E$16:$E$612)) +
 SUMPRODUCT(($B$16:$B$612=W7)*($E$16:$E$612&gt;$C$16:$C$612))</f>
        <v>3</v>
      </c>
      <c r="Z7" s="3" cm="1">
        <f t="array" ref="Z7">SUM(($A$16:$A$612=W7)*($C$16:$C$612=$E$16:$E$612)*ISNUMBER($E$16:$E$612),($B$16:$B$612=W7)*($E$16:$E$612=$C$16:$C$612)*ISNUMBER($C$16:$C$612))</f>
        <v>0</v>
      </c>
      <c r="AA7" s="3" cm="1">
        <f t="array" ref="AA7">SUM(($A$16:$A$612=W7)*($C$16:$C$612&lt;$E$16:$E$612),($B$16:$B$612=W7)*($E$16:$E$612&lt;$C$16:$C$612))</f>
        <v>1</v>
      </c>
      <c r="AB7" s="4">
        <f>SUMIF($A$16:$A$612,W7,$C$16:$C$612)+SUMIF($B$16:$B$612,W7,$E$16:$E$612)</f>
        <v>167</v>
      </c>
      <c r="AC7" s="5">
        <f>SUMIF($A$16:$A$612,W7,$E$16:$E$612)+SUMIF($B$16:$B$612,W7,$C$16:$C$612)</f>
        <v>153</v>
      </c>
      <c r="AD7" s="3">
        <f t="shared" si="4"/>
        <v>14</v>
      </c>
      <c r="AE7" s="4">
        <f>Y7*Points!$B$2+Z7*Points!$B$3</f>
        <v>6</v>
      </c>
      <c r="AF7">
        <f t="shared" si="5"/>
        <v>600140167</v>
      </c>
      <c r="AG7">
        <f t="shared" si="2"/>
        <v>0.27287581699346403</v>
      </c>
    </row>
    <row r="8" spans="1:33" x14ac:dyDescent="0.3">
      <c r="A8" s="6" t="s">
        <v>22</v>
      </c>
      <c r="H8" s="6" t="str" cm="1">
        <f t="array" ref="H8">INDEX($W$3:$W$7,MATCH(LARGE($AF$3:$AF$7-ROW($AF$3:$AF$7)/COUNT($AF$3:$AF$7),ROW(H8)-ROW(H$6)+1),$AF$3:$AF$7-ROW($AF$3:$AF$7)/COUNT($AF$3:$AF$7),0))</f>
        <v>Amathole</v>
      </c>
      <c r="I8" s="7">
        <f t="shared" si="6"/>
        <v>4</v>
      </c>
      <c r="J8" s="7">
        <f t="shared" si="7"/>
        <v>3</v>
      </c>
      <c r="K8" s="7">
        <f t="shared" si="8"/>
        <v>1</v>
      </c>
      <c r="L8" s="7">
        <f t="shared" si="9"/>
        <v>0</v>
      </c>
      <c r="M8" s="7">
        <f t="shared" si="10"/>
        <v>6</v>
      </c>
      <c r="N8" s="7">
        <f t="shared" si="11"/>
        <v>167</v>
      </c>
      <c r="O8" s="7">
        <f t="shared" si="12"/>
        <v>153</v>
      </c>
      <c r="P8" s="7">
        <f t="shared" si="13"/>
        <v>14</v>
      </c>
      <c r="Q8" s="60">
        <f t="shared" si="14"/>
        <v>0.27287581699346403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H9" s="6" t="str" cm="1">
        <f t="array" ref="H9">INDEX($W$3:$W$7,MATCH(LARGE($AF$3:$AF$7-ROW($AF$3:$AF$7)/COUNT($AF$3:$AF$7),ROW(H9)-ROW(H$6)+1),$AF$3:$AF$7-ROW($AF$3:$AF$7)/COUNT($AF$3:$AF$7),0))</f>
        <v>NMM</v>
      </c>
      <c r="I9" s="7">
        <f t="shared" si="6"/>
        <v>4</v>
      </c>
      <c r="J9" s="7">
        <f t="shared" si="7"/>
        <v>1</v>
      </c>
      <c r="K9" s="7">
        <f t="shared" si="8"/>
        <v>3</v>
      </c>
      <c r="L9" s="7">
        <f t="shared" si="9"/>
        <v>0</v>
      </c>
      <c r="M9" s="7">
        <f t="shared" si="10"/>
        <v>2</v>
      </c>
      <c r="N9" s="7">
        <f t="shared" si="11"/>
        <v>147</v>
      </c>
      <c r="O9" s="7">
        <f t="shared" si="12"/>
        <v>162</v>
      </c>
      <c r="P9" s="7">
        <f t="shared" si="13"/>
        <v>-15</v>
      </c>
      <c r="Q9" s="60">
        <f t="shared" si="14"/>
        <v>0.22685185185185186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 s="6" t="str" cm="1">
        <f t="array" ref="H10">INDEX($W$3:$W$7,MATCH(LARGE($AF$3:$AF$7-ROW($AF$3:$AF$7)/COUNT($AF$3:$AF$7),ROW(H10)-ROW(H$6)+1),$AF$3:$AF$7-ROW($AF$3:$AF$7)/COUNT($AF$3:$AF$7),0))</f>
        <v>Pixley</v>
      </c>
      <c r="I10" s="7">
        <f t="shared" si="6"/>
        <v>4</v>
      </c>
      <c r="J10" s="7">
        <f t="shared" si="7"/>
        <v>0</v>
      </c>
      <c r="K10" s="7">
        <f t="shared" si="8"/>
        <v>4</v>
      </c>
      <c r="L10" s="7">
        <f t="shared" si="9"/>
        <v>0</v>
      </c>
      <c r="M10" s="7">
        <f t="shared" si="10"/>
        <v>0</v>
      </c>
      <c r="N10" s="7">
        <f t="shared" si="11"/>
        <v>106</v>
      </c>
      <c r="O10" s="7">
        <f t="shared" si="12"/>
        <v>186</v>
      </c>
      <c r="P10" s="7">
        <f t="shared" si="13"/>
        <v>-80</v>
      </c>
      <c r="Q10" s="60">
        <f t="shared" si="14"/>
        <v>0.1424731182795699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ht="15" thickBot="1" x14ac:dyDescent="0.35">
      <c r="A15" s="20" t="s">
        <v>103</v>
      </c>
    </row>
    <row r="16" spans="1:33" x14ac:dyDescent="0.3">
      <c r="A16" s="21" t="s">
        <v>72</v>
      </c>
      <c r="B16" s="22" t="s">
        <v>132</v>
      </c>
      <c r="C16" s="23">
        <v>32</v>
      </c>
      <c r="D16" s="23" t="s">
        <v>16</v>
      </c>
      <c r="E16" s="24">
        <v>28</v>
      </c>
      <c r="F16" s="3"/>
      <c r="H16"/>
      <c r="I16"/>
      <c r="J16" s="3"/>
      <c r="K16" s="3"/>
      <c r="L16" s="3"/>
    </row>
    <row r="17" spans="1:12" ht="15" thickBot="1" x14ac:dyDescent="0.35">
      <c r="A17" s="27" t="s">
        <v>20</v>
      </c>
      <c r="B17" s="28" t="s">
        <v>22</v>
      </c>
      <c r="C17" s="29">
        <v>34</v>
      </c>
      <c r="D17" s="29" t="s">
        <v>16</v>
      </c>
      <c r="E17" s="30">
        <v>46</v>
      </c>
      <c r="F17" s="3"/>
    </row>
    <row r="18" spans="1:12" x14ac:dyDescent="0.3">
      <c r="F18" s="3"/>
      <c r="H18"/>
      <c r="I18"/>
    </row>
    <row r="19" spans="1:12" x14ac:dyDescent="0.3">
      <c r="F19" s="3"/>
      <c r="H19"/>
      <c r="I19"/>
    </row>
    <row r="20" spans="1:12" ht="15" thickBot="1" x14ac:dyDescent="0.35">
      <c r="A20" s="20" t="s">
        <v>104</v>
      </c>
      <c r="F20" s="3"/>
      <c r="H20"/>
      <c r="I20"/>
    </row>
    <row r="21" spans="1:12" x14ac:dyDescent="0.3">
      <c r="A21" s="21" t="s">
        <v>15</v>
      </c>
      <c r="B21" s="22" t="s">
        <v>72</v>
      </c>
      <c r="C21" s="23">
        <v>33</v>
      </c>
      <c r="D21" s="23" t="str">
        <f>D16</f>
        <v>:</v>
      </c>
      <c r="E21" s="24">
        <v>43</v>
      </c>
      <c r="H21"/>
      <c r="I21"/>
      <c r="J21" s="3"/>
      <c r="K21" s="3"/>
      <c r="L21" s="3"/>
    </row>
    <row r="22" spans="1:12" x14ac:dyDescent="0.3">
      <c r="A22" s="25" t="s">
        <v>20</v>
      </c>
      <c r="B22" s="6" t="s">
        <v>132</v>
      </c>
      <c r="C22" s="7">
        <v>27</v>
      </c>
      <c r="D22" s="7" t="s">
        <v>16</v>
      </c>
      <c r="E22" s="26">
        <v>51</v>
      </c>
      <c r="H22"/>
      <c r="I22"/>
      <c r="J22" s="3"/>
      <c r="K22" s="3"/>
      <c r="L22" s="3"/>
    </row>
    <row r="23" spans="1:12" ht="15" thickBot="1" x14ac:dyDescent="0.35">
      <c r="A23" s="27" t="s">
        <v>72</v>
      </c>
      <c r="B23" s="28" t="s">
        <v>22</v>
      </c>
      <c r="C23" s="29">
        <v>45</v>
      </c>
      <c r="D23" s="29" t="s">
        <v>16</v>
      </c>
      <c r="E23" s="30">
        <v>46</v>
      </c>
    </row>
    <row r="26" spans="1:12" ht="15" thickBot="1" x14ac:dyDescent="0.35">
      <c r="A26" s="20" t="s">
        <v>141</v>
      </c>
    </row>
    <row r="27" spans="1:12" ht="15" thickBot="1" x14ac:dyDescent="0.35">
      <c r="A27" s="53" t="s">
        <v>132</v>
      </c>
      <c r="B27" s="54" t="s">
        <v>15</v>
      </c>
      <c r="C27" s="55">
        <v>44</v>
      </c>
      <c r="D27" s="55" t="s">
        <v>16</v>
      </c>
      <c r="E27" s="56">
        <v>35</v>
      </c>
      <c r="H27"/>
      <c r="I27"/>
      <c r="J27" s="3"/>
      <c r="K27" s="3"/>
      <c r="L27" s="3"/>
    </row>
    <row r="30" spans="1:12" ht="15" thickBot="1" x14ac:dyDescent="0.35">
      <c r="A30" s="20" t="s">
        <v>145</v>
      </c>
    </row>
    <row r="31" spans="1:12" x14ac:dyDescent="0.3">
      <c r="A31" s="21" t="s">
        <v>20</v>
      </c>
      <c r="B31" s="22" t="s">
        <v>15</v>
      </c>
      <c r="C31" s="23">
        <v>30</v>
      </c>
      <c r="D31" s="23" t="s">
        <v>16</v>
      </c>
      <c r="E31" s="24">
        <v>39</v>
      </c>
    </row>
    <row r="32" spans="1:12" x14ac:dyDescent="0.3">
      <c r="A32" s="25" t="s">
        <v>132</v>
      </c>
      <c r="B32" s="6" t="s">
        <v>22</v>
      </c>
      <c r="C32" s="7">
        <v>34</v>
      </c>
      <c r="D32" s="7" t="s">
        <v>16</v>
      </c>
      <c r="E32" s="26">
        <v>30</v>
      </c>
    </row>
    <row r="33" spans="1:12" x14ac:dyDescent="0.3">
      <c r="A33" s="25" t="s">
        <v>72</v>
      </c>
      <c r="B33" s="6" t="s">
        <v>20</v>
      </c>
      <c r="C33" s="7">
        <v>50</v>
      </c>
      <c r="D33" s="7" t="s">
        <v>16</v>
      </c>
      <c r="E33" s="26">
        <v>15</v>
      </c>
    </row>
    <row r="34" spans="1:12" ht="15" thickBot="1" x14ac:dyDescent="0.35">
      <c r="A34" s="27" t="s">
        <v>15</v>
      </c>
      <c r="B34" s="28" t="s">
        <v>22</v>
      </c>
      <c r="C34" s="29">
        <v>40</v>
      </c>
      <c r="D34" s="29" t="s">
        <v>16</v>
      </c>
      <c r="E34" s="30">
        <v>45</v>
      </c>
      <c r="H34" s="41"/>
      <c r="I34"/>
    </row>
    <row r="35" spans="1:12" x14ac:dyDescent="0.3">
      <c r="G35" s="42"/>
      <c r="H35"/>
      <c r="I35"/>
      <c r="J35" s="3"/>
      <c r="K35" s="3"/>
      <c r="L35" s="3"/>
    </row>
    <row r="36" spans="1:12" x14ac:dyDescent="0.3">
      <c r="H36"/>
      <c r="I36"/>
      <c r="J36" s="3"/>
      <c r="K36" s="3"/>
      <c r="L36" s="3"/>
    </row>
    <row r="37" spans="1:12" ht="15" thickBot="1" x14ac:dyDescent="0.35">
      <c r="A37" s="20"/>
      <c r="H37"/>
      <c r="I37"/>
      <c r="J37" s="3"/>
      <c r="K37" s="3"/>
      <c r="L37" s="3"/>
    </row>
    <row r="38" spans="1:12" x14ac:dyDescent="0.3">
      <c r="A38" s="21"/>
      <c r="B38" s="22"/>
      <c r="C38" s="23"/>
      <c r="D38" s="23"/>
      <c r="E38" s="24"/>
      <c r="H38"/>
      <c r="I38"/>
      <c r="J38" s="3"/>
      <c r="K38" s="3"/>
      <c r="L38" s="3"/>
    </row>
    <row r="39" spans="1:12" x14ac:dyDescent="0.3">
      <c r="A39" s="25"/>
      <c r="B39" s="6"/>
      <c r="C39" s="7"/>
      <c r="D39" s="7"/>
      <c r="E39" s="26"/>
    </row>
    <row r="40" spans="1:12" x14ac:dyDescent="0.3">
      <c r="A40" s="25"/>
      <c r="B40" s="6"/>
      <c r="C40" s="7"/>
      <c r="D40" s="7"/>
      <c r="E40" s="26"/>
    </row>
    <row r="41" spans="1:12" ht="15" thickBot="1" x14ac:dyDescent="0.35">
      <c r="A41" s="27"/>
      <c r="B41" s="28"/>
      <c r="C41" s="29"/>
      <c r="D41" s="29"/>
      <c r="E41" s="30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0E5E-260E-4FE9-8F20-B37107062AF0}">
  <sheetPr>
    <tabColor theme="0"/>
  </sheetPr>
  <dimension ref="A1:AG41"/>
  <sheetViews>
    <sheetView workbookViewId="0">
      <selection activeCell="E36" sqref="E36"/>
    </sheetView>
  </sheetViews>
  <sheetFormatPr defaultRowHeight="14.4" x14ac:dyDescent="0.3"/>
  <cols>
    <col min="1" max="1" width="31.44140625" bestFit="1" customWidth="1"/>
    <col min="2" max="2" width="10.218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0.218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0.66406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57" t="s">
        <v>117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uMzinyathi</v>
      </c>
      <c r="X3" s="2" cm="1">
        <f t="array" ref="X3">SUM(($A$17:$A$615=W3)*(ISNUMBER($C$17:$C$615)),($B$17:$B$615=W3)*(ISNUMBER($E$17:$E$615)))</f>
        <v>4</v>
      </c>
      <c r="Y3" s="3" cm="1">
        <f t="array" ref="Y3">SUMPRODUCT(($A$17:$A$615=W3)*($C$17:$C$615&gt;$E$17:$E$615)) +
 SUMPRODUCT(($B$17:$B$615=W3)*($E$17:$E$615&gt;$C$17:$C$615))</f>
        <v>3</v>
      </c>
      <c r="Z3" s="3" cm="1">
        <f t="array" ref="Z3">SUM(($A$17:$A$615=W3)*($C$17:$C$615=$E$17:$E$615)*ISNUMBER($E$17:$E$615),($B$17:$B$615=W3)*($E$17:$E$615=$C$17:$C$615)*ISNUMBER($C$17:$C$615))</f>
        <v>0</v>
      </c>
      <c r="AA3" s="3" cm="1">
        <f t="array" ref="AA3">SUM(($A$17:$A$615=W3)*($C$17:$C$615&lt;$E$17:$E$615),($B$17:$B$615=W3)*($E$17:$E$615&lt;$C$17:$C$615))</f>
        <v>1</v>
      </c>
      <c r="AB3" s="4">
        <f>SUMIF($A$17:$A$615,W3,$C$17:$C$615)+SUMIF($B$17:$B$615,W3,$E$17:$E$615)</f>
        <v>170</v>
      </c>
      <c r="AC3" s="5">
        <f>SUMIF($A$17:$A$615,W3,$E$17:$E$615)+SUMIF($B$17:$B$615,W3,$C$17:$C$615)</f>
        <v>130</v>
      </c>
      <c r="AD3" s="3">
        <f>AB3-AC3</f>
        <v>40</v>
      </c>
      <c r="AE3" s="4">
        <f>Y3*Points!$B$2+Z3*Points!$B$3</f>
        <v>6</v>
      </c>
      <c r="AF3">
        <f>AB3+AD3*10000+AE3*100000000</f>
        <v>600400170</v>
      </c>
      <c r="AG3">
        <f>AB3/AC3/X3</f>
        <v>0.32692307692307693</v>
      </c>
    </row>
    <row r="4" spans="1:33" ht="28.8" x14ac:dyDescent="0.55000000000000004">
      <c r="A4" s="6" t="s">
        <v>18</v>
      </c>
      <c r="H4" s="109" t="s">
        <v>117</v>
      </c>
      <c r="I4" s="110"/>
      <c r="J4" s="110"/>
      <c r="K4" s="110"/>
      <c r="L4" s="110"/>
      <c r="M4" s="110"/>
      <c r="N4" s="110"/>
      <c r="O4" s="110"/>
      <c r="P4" s="110"/>
      <c r="Q4" s="110"/>
      <c r="W4" s="1" t="str">
        <f>A5</f>
        <v>Mopani</v>
      </c>
      <c r="X4" s="2" cm="1">
        <f t="array" ref="X4">SUM(($A$17:$A$615=W4)*(ISNUMBER($C$17:$C$615)),($B$17:$B$615=W4)*(ISNUMBER($E$17:$E$615)))</f>
        <v>4</v>
      </c>
      <c r="Y4" s="3" cm="1">
        <f t="array" ref="Y4">SUMPRODUCT(($A$17:$A$615=W4)*($C$17:$C$615&gt;$E$17:$E$615)) +
 SUMPRODUCT(($B$17:$B$615=W4)*($E$17:$E$615&gt;$C$17:$C$615))</f>
        <v>3</v>
      </c>
      <c r="Z4" s="3" cm="1">
        <f t="array" ref="Z4">SUM(($A$17:$A$615=W4)*($C$17:$C$615=$E$17:$E$615)*ISNUMBER($E$17:$E$615),($B$17:$B$615=W4)*($E$17:$E$615=$C$17:$C$615)*ISNUMBER($C$17:$C$615))</f>
        <v>0</v>
      </c>
      <c r="AA4" s="3" cm="1">
        <f t="array" ref="AA4">SUM(($A$17:$A$615=W4)*($C$17:$C$615&lt;$E$17:$E$615),($B$17:$B$615=W4)*($E$17:$E$615&lt;$C$17:$C$615))</f>
        <v>1</v>
      </c>
      <c r="AB4" s="4">
        <f>SUMIF($A$17:$A$615,W4,$C$17:$C$615)+SUMIF($B$17:$B$615,W4,$E$17:$E$615)</f>
        <v>157</v>
      </c>
      <c r="AC4" s="5">
        <f>SUMIF($A$17:$A$615,W4,$E$17:$E$615)+SUMIF($B$17:$B$615,W4,$C$17:$C$615)</f>
        <v>111</v>
      </c>
      <c r="AD4" s="3">
        <f t="shared" ref="AD4" si="0">AB4-AC4</f>
        <v>46</v>
      </c>
      <c r="AE4" s="4">
        <f>Y4*Points!$B$2+Z4*Points!$B$3</f>
        <v>6</v>
      </c>
      <c r="AF4">
        <f t="shared" ref="AF4" si="1">AB4+AD4*10000+AE4*100000000</f>
        <v>600460157</v>
      </c>
      <c r="AG4">
        <f t="shared" ref="AG4:AG7" si="2">AB4/AC4/X4</f>
        <v>0.3536036036036036</v>
      </c>
    </row>
    <row r="5" spans="1:33" x14ac:dyDescent="0.3">
      <c r="A5" s="6" t="s">
        <v>44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Chris Hani</v>
      </c>
      <c r="X5" s="2" cm="1">
        <f t="array" ref="X5">SUM(($A$17:$A$615=W5)*(ISNUMBER($C$17:$C$615)),($B$17:$B$615=W5)*(ISNUMBER($E$17:$E$615)))</f>
        <v>4</v>
      </c>
      <c r="Y5" s="3" cm="1">
        <f t="array" ref="Y5">SUMPRODUCT(($A$17:$A$615=W5)*($C$17:$C$615&gt;$E$17:$E$615)) +
 SUMPRODUCT(($B$17:$B$615=W5)*($E$17:$E$615&gt;$C$17:$C$615))</f>
        <v>0</v>
      </c>
      <c r="Z5" s="3" cm="1">
        <f t="array" ref="Z5">SUM(($A$17:$A$615=W5)*($C$17:$C$615=$E$17:$E$615)*ISNUMBER($E$17:$E$615),($B$17:$B$615=W5)*($E$17:$E$615=$C$17:$C$615)*ISNUMBER($C$17:$C$615))</f>
        <v>0</v>
      </c>
      <c r="AA5" s="3" cm="1">
        <f t="array" ref="AA5">SUM(($A$17:$A$615=W5)*($C$17:$C$615&lt;$E$17:$E$615),($B$17:$B$615=W5)*($E$17:$E$615&lt;$C$17:$C$615))</f>
        <v>4</v>
      </c>
      <c r="AB5" s="4">
        <f>SUMIF($A$17:$A$615,W5,$C$17:$C$615)+SUMIF($B$17:$B$615,W5,$E$17:$E$615)</f>
        <v>102</v>
      </c>
      <c r="AC5" s="5">
        <f>SUMIF($A$17:$A$615,W5,$E$17:$E$615)+SUMIF($B$17:$B$615,W5,$C$17:$C$615)</f>
        <v>177</v>
      </c>
      <c r="AD5" s="3">
        <f>AB5-AC5</f>
        <v>-75</v>
      </c>
      <c r="AE5" s="4">
        <f>Y5*Points!$B$2+Z5*Points!$B$3</f>
        <v>0</v>
      </c>
      <c r="AF5">
        <f>AB5+AD5*10000+AE5*100000000</f>
        <v>-749898</v>
      </c>
      <c r="AG5">
        <f t="shared" si="2"/>
        <v>0.1440677966101695</v>
      </c>
    </row>
    <row r="6" spans="1:33" x14ac:dyDescent="0.3">
      <c r="A6" s="6" t="s">
        <v>28</v>
      </c>
      <c r="H6" s="6" t="str" cm="1">
        <f t="array" ref="H6">INDEX($W$3:$W$7,MATCH(LARGE($AF$3:$AF$7-ROW($AF$3:$AF$7)/COUNT($AF$3:$AF$7),ROW(H6)-ROW(H$6)+1),$AF$3:$AF$7-ROW($AF$3:$AF$7)/COUNT($AF$3:$AF$7),0))</f>
        <v>Ehlanzeni B</v>
      </c>
      <c r="I6" s="7">
        <f>VLOOKUP($H6,$W$3:$AE$10,2,0)</f>
        <v>4</v>
      </c>
      <c r="J6" s="7">
        <f>VLOOKUP($H6,$W$3:$AE$10,3,0)</f>
        <v>3</v>
      </c>
      <c r="K6" s="7">
        <f>VLOOKUP($H6,$W$3:$AE$10,5,0)</f>
        <v>1</v>
      </c>
      <c r="L6" s="7">
        <f>VLOOKUP($H6,$W$3:$AE$10,4,0)</f>
        <v>0</v>
      </c>
      <c r="M6" s="7">
        <f>VLOOKUP($H6,$W$3:$AE$12,9,0)</f>
        <v>6</v>
      </c>
      <c r="N6" s="7">
        <f>VLOOKUP($H6,$W$3:$AE$12,6,0)</f>
        <v>190</v>
      </c>
      <c r="O6" s="7">
        <f>VLOOKUP($H6,$W$3:$AE$12,7,0)</f>
        <v>119</v>
      </c>
      <c r="P6" s="7">
        <f>VLOOKUP($H6,$W$3:$AE$12,8,0)</f>
        <v>71</v>
      </c>
      <c r="Q6" s="60">
        <f>VLOOKUP($H6,$W$3:$AG$9,11,0)</f>
        <v>0.39915966386554624</v>
      </c>
      <c r="W6" s="1" t="str">
        <f>A7</f>
        <v>Namakwa</v>
      </c>
      <c r="X6" s="2" cm="1">
        <f t="array" ref="X6">SUM(($A$17:$A$615=W6)*(ISNUMBER($C$17:$C$615)),($B$17:$B$615=W6)*(ISNUMBER($E$17:$E$615)))</f>
        <v>4</v>
      </c>
      <c r="Y6" s="3" cm="1">
        <f t="array" ref="Y6">SUMPRODUCT(($A$17:$A$615=W6)*($C$17:$C$615&gt;$E$17:$E$615)) +
 SUMPRODUCT(($B$17:$B$615=W6)*($E$17:$E$615&gt;$C$17:$C$615))</f>
        <v>1</v>
      </c>
      <c r="Z6" s="3" cm="1">
        <f t="array" ref="Z6">SUM(($A$17:$A$615=W6)*($C$17:$C$615=$E$17:$E$615)*ISNUMBER($E$17:$E$615),($B$17:$B$615=W6)*($E$17:$E$615=$C$17:$C$615)*ISNUMBER($C$17:$C$615))</f>
        <v>0</v>
      </c>
      <c r="AA6" s="3" cm="1">
        <f t="array" ref="AA6">SUM(($A$17:$A$615=W6)*($C$17:$C$615&lt;$E$17:$E$615),($B$17:$B$615=W6)*($E$17:$E$615&lt;$C$17:$C$615))</f>
        <v>3</v>
      </c>
      <c r="AB6" s="4">
        <f>SUMIF($A$17:$A$615,W6,$C$17:$C$615)+SUMIF($B$17:$B$615,W6,$E$17:$E$615)</f>
        <v>106</v>
      </c>
      <c r="AC6" s="5">
        <f>SUMIF($A$17:$A$615,W6,$E$17:$E$615)+SUMIF($B$17:$B$615,W6,$C$17:$C$615)</f>
        <v>188</v>
      </c>
      <c r="AD6" s="3">
        <f t="shared" ref="AD6:AD7" si="3">AB6-AC6</f>
        <v>-82</v>
      </c>
      <c r="AE6" s="4">
        <f>Y6*Points!$B$2+Z6*Points!$B$3</f>
        <v>2</v>
      </c>
      <c r="AF6">
        <f t="shared" ref="AF6:AF7" si="4">AB6+AD6*10000+AE6*100000000</f>
        <v>199180106</v>
      </c>
      <c r="AG6">
        <f t="shared" si="2"/>
        <v>0.14095744680851063</v>
      </c>
    </row>
    <row r="7" spans="1:33" x14ac:dyDescent="0.3">
      <c r="A7" s="6" t="s">
        <v>62</v>
      </c>
      <c r="H7" s="6" t="str" cm="1">
        <f t="array" ref="H7">INDEX($W$3:$W$7,MATCH(LARGE($AF$3:$AF$7-ROW($AF$3:$AF$7)/COUNT($AF$3:$AF$7),ROW(H7)-ROW(H$6)+1),$AF$3:$AF$7-ROW($AF$3:$AF$7)/COUNT($AF$3:$AF$7),0))</f>
        <v>Mopani</v>
      </c>
      <c r="I7" s="7">
        <f>VLOOKUP($H7,$W$3:$AE$10,2,0)</f>
        <v>4</v>
      </c>
      <c r="J7" s="7">
        <f>VLOOKUP($H7,$W$3:$AE$10,3,0)</f>
        <v>3</v>
      </c>
      <c r="K7" s="7">
        <f>VLOOKUP($H7,$W$3:$AE$10,5,0)</f>
        <v>1</v>
      </c>
      <c r="L7" s="7">
        <f>VLOOKUP($H7,$W$3:$AE$10,4,0)</f>
        <v>0</v>
      </c>
      <c r="M7" s="7">
        <f t="shared" ref="M7" si="5">VLOOKUP($H7,$W$3:$AE$12,9,0)</f>
        <v>6</v>
      </c>
      <c r="N7" s="7">
        <f>VLOOKUP($H7,$W$3:$AE$12,6,0)</f>
        <v>157</v>
      </c>
      <c r="O7" s="7">
        <f>VLOOKUP($H7,$W$3:$AE$12,7,0)</f>
        <v>111</v>
      </c>
      <c r="P7" s="7">
        <f>VLOOKUP($H7,$W$3:$AE$12,8,0)</f>
        <v>46</v>
      </c>
      <c r="Q7" s="60">
        <f t="shared" ref="Q7:Q10" si="6">VLOOKUP($H7,$W$3:$AG$9,11,0)</f>
        <v>0.3536036036036036</v>
      </c>
      <c r="W7" s="1" t="str">
        <f>A8</f>
        <v>Ehlanzeni B</v>
      </c>
      <c r="X7" s="2" cm="1">
        <f t="array" ref="X7">SUM(($A$17:$A$615=W7)*(ISNUMBER($C$17:$C$615)),($B$17:$B$615=W7)*(ISNUMBER($E$17:$E$615)))</f>
        <v>4</v>
      </c>
      <c r="Y7" s="3" cm="1">
        <f t="array" ref="Y7">SUMPRODUCT(($A$17:$A$615=W7)*($C$17:$C$615&gt;$E$17:$E$615)) +
 SUMPRODUCT(($B$17:$B$615=W7)*($E$17:$E$615&gt;$C$17:$C$615))</f>
        <v>3</v>
      </c>
      <c r="Z7" s="3" cm="1">
        <f t="array" ref="Z7">SUM(($A$17:$A$615=W7)*($C$17:$C$615=$E$17:$E$615)*ISNUMBER($E$17:$E$615),($B$17:$B$615=W7)*($E$17:$E$615=$C$17:$C$615)*ISNUMBER($C$17:$C$615))</f>
        <v>0</v>
      </c>
      <c r="AA7" s="3" cm="1">
        <f t="array" ref="AA7">SUM(($A$17:$A$615=W7)*($C$17:$C$615&lt;$E$17:$E$615),($B$17:$B$615=W7)*($E$17:$E$615&lt;$C$17:$C$615))</f>
        <v>1</v>
      </c>
      <c r="AB7" s="4">
        <f>SUMIF($A$17:$A$615,W7,$C$17:$C$615)+SUMIF($B$17:$B$615,W7,$E$17:$E$615)</f>
        <v>190</v>
      </c>
      <c r="AC7" s="5">
        <f>SUMIF($A$17:$A$615,W7,$E$17:$E$615)+SUMIF($B$17:$B$615,W7,$C$17:$C$615)</f>
        <v>119</v>
      </c>
      <c r="AD7" s="3">
        <f t="shared" si="3"/>
        <v>71</v>
      </c>
      <c r="AE7" s="4">
        <f>Y7*Points!$B$2+Z7*Points!$B$3</f>
        <v>6</v>
      </c>
      <c r="AF7">
        <f t="shared" si="4"/>
        <v>600710190</v>
      </c>
      <c r="AG7">
        <f t="shared" si="2"/>
        <v>0.39915966386554624</v>
      </c>
    </row>
    <row r="8" spans="1:33" x14ac:dyDescent="0.3">
      <c r="A8" s="6" t="s">
        <v>60</v>
      </c>
      <c r="H8" s="6" t="str" cm="1">
        <f t="array" ref="H8">INDEX($W$3:$W$7,MATCH(LARGE($AF$3:$AF$7-ROW($AF$3:$AF$7)/COUNT($AF$3:$AF$7),ROW(H8)-ROW(H$6)+1),$AF$3:$AF$7-ROW($AF$3:$AF$7)/COUNT($AF$3:$AF$7),0))</f>
        <v>uMzinyathi</v>
      </c>
      <c r="I8" s="7">
        <f>VLOOKUP($H8,$W$3:$AE$10,2,0)</f>
        <v>4</v>
      </c>
      <c r="J8" s="7">
        <f>VLOOKUP($H8,$W$3:$AE$10,3,0)</f>
        <v>3</v>
      </c>
      <c r="K8" s="7">
        <f>VLOOKUP($H8,$W$3:$AE$10,5,0)</f>
        <v>1</v>
      </c>
      <c r="L8" s="7">
        <f>VLOOKUP($H8,$W$3:$AE$10,4,0)</f>
        <v>0</v>
      </c>
      <c r="M8" s="7">
        <f>VLOOKUP($H8,$W$3:$AE$12,9,0)</f>
        <v>6</v>
      </c>
      <c r="N8" s="7">
        <f>VLOOKUP($H8,$W$3:$AE$12,6,0)</f>
        <v>170</v>
      </c>
      <c r="O8" s="7">
        <f>VLOOKUP($H8,$W$3:$AE$12,7,0)</f>
        <v>130</v>
      </c>
      <c r="P8" s="7">
        <f>VLOOKUP($H8,$W$3:$AE$12,8,0)</f>
        <v>40</v>
      </c>
      <c r="Q8" s="60">
        <f t="shared" si="6"/>
        <v>0.32692307692307693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A9" s="6"/>
      <c r="H9" s="6" t="str" cm="1">
        <f t="array" ref="H9">INDEX($W$3:$W$7,MATCH(LARGE($AF$3:$AF$7-ROW($AF$3:$AF$7)/COUNT($AF$3:$AF$7),ROW(H9)-ROW(H$6)+1),$AF$3:$AF$7-ROW($AF$3:$AF$7)/COUNT($AF$3:$AF$7),0))</f>
        <v>Namakwa</v>
      </c>
      <c r="I9" s="7">
        <f>VLOOKUP($H9,$W$3:$AE$10,2,0)</f>
        <v>4</v>
      </c>
      <c r="J9" s="7">
        <f>VLOOKUP($H9,$W$3:$AE$10,3,0)</f>
        <v>1</v>
      </c>
      <c r="K9" s="7">
        <f>VLOOKUP($H9,$W$3:$AE$10,5,0)</f>
        <v>3</v>
      </c>
      <c r="L9" s="7">
        <f>VLOOKUP($H9,$W$3:$AE$10,4,0)</f>
        <v>0</v>
      </c>
      <c r="M9" s="7">
        <f>VLOOKUP($H9,$W$3:$AE$12,9,0)</f>
        <v>2</v>
      </c>
      <c r="N9" s="7">
        <f>VLOOKUP($H9,$W$3:$AE$12,6,0)</f>
        <v>106</v>
      </c>
      <c r="O9" s="7">
        <f>VLOOKUP($H9,$W$3:$AE$12,7,0)</f>
        <v>188</v>
      </c>
      <c r="P9" s="7">
        <f>VLOOKUP($H9,$W$3:$AE$12,8,0)</f>
        <v>-82</v>
      </c>
      <c r="Q9" s="60">
        <f t="shared" si="6"/>
        <v>0.14095744680851063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A10" s="6"/>
      <c r="H10" s="6" t="str" cm="1">
        <f t="array" ref="H10">INDEX($W$3:$W$7,MATCH(LARGE($AF$3:$AF$7-ROW($AF$3:$AF$7)/COUNT($AF$3:$AF$7),ROW(H10)-ROW(H$6)+1),$AF$3:$AF$7-ROW($AF$3:$AF$7)/COUNT($AF$3:$AF$7),0))</f>
        <v>Chris Hani</v>
      </c>
      <c r="I10" s="7">
        <f>VLOOKUP($H10,$W$3:$AE$10,2,0)</f>
        <v>4</v>
      </c>
      <c r="J10" s="7">
        <f>VLOOKUP($H10,$W$3:$AE$10,3,0)</f>
        <v>0</v>
      </c>
      <c r="K10" s="7">
        <f>VLOOKUP($H10,$W$3:$AE$10,5,0)</f>
        <v>4</v>
      </c>
      <c r="L10" s="7">
        <f>VLOOKUP($H10,$W$3:$AE$10,4,0)</f>
        <v>0</v>
      </c>
      <c r="M10" s="7">
        <f>VLOOKUP($H10,$W$3:$AE$12,9,0)</f>
        <v>0</v>
      </c>
      <c r="N10" s="7">
        <f>VLOOKUP($H10,$W$3:$AE$12,6,0)</f>
        <v>102</v>
      </c>
      <c r="O10" s="7">
        <f>VLOOKUP($H10,$W$3:$AE$12,7,0)</f>
        <v>177</v>
      </c>
      <c r="P10" s="7">
        <f>VLOOKUP($H10,$W$3:$AE$12,8,0)</f>
        <v>-75</v>
      </c>
      <c r="Q10" s="60">
        <f t="shared" si="6"/>
        <v>0.1440677966101695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2" ht="15" thickBot="1" x14ac:dyDescent="0.35">
      <c r="A17" s="53" t="s">
        <v>28</v>
      </c>
      <c r="B17" s="54" t="s">
        <v>18</v>
      </c>
      <c r="C17" s="55">
        <v>26</v>
      </c>
      <c r="D17" s="55" t="s">
        <v>16</v>
      </c>
      <c r="E17" s="56">
        <v>41</v>
      </c>
      <c r="F17" s="3"/>
      <c r="H17"/>
      <c r="I17"/>
      <c r="J17" s="3"/>
      <c r="K17" s="3"/>
      <c r="L17" s="3"/>
    </row>
    <row r="18" spans="1:12" x14ac:dyDescent="0.3">
      <c r="F18" s="3"/>
      <c r="H18"/>
      <c r="I18"/>
    </row>
    <row r="19" spans="1:12" x14ac:dyDescent="0.3">
      <c r="F19" s="3"/>
      <c r="H19"/>
      <c r="I19"/>
    </row>
    <row r="20" spans="1:12" ht="15" thickBot="1" x14ac:dyDescent="0.35">
      <c r="A20" s="20" t="s">
        <v>104</v>
      </c>
      <c r="F20" s="3"/>
      <c r="H20"/>
      <c r="I20"/>
    </row>
    <row r="21" spans="1:12" x14ac:dyDescent="0.3">
      <c r="A21" s="21" t="s">
        <v>62</v>
      </c>
      <c r="B21" s="22" t="s">
        <v>60</v>
      </c>
      <c r="C21" s="23">
        <v>23</v>
      </c>
      <c r="D21" s="23" t="str">
        <f>D17</f>
        <v>:</v>
      </c>
      <c r="E21" s="24">
        <v>54</v>
      </c>
      <c r="H21"/>
      <c r="I21"/>
      <c r="J21" s="3"/>
      <c r="K21" s="3"/>
      <c r="L21" s="3"/>
    </row>
    <row r="22" spans="1:12" x14ac:dyDescent="0.3">
      <c r="A22" s="25" t="s">
        <v>28</v>
      </c>
      <c r="B22" s="6" t="s">
        <v>44</v>
      </c>
      <c r="C22" s="7">
        <v>26</v>
      </c>
      <c r="D22" s="7" t="s">
        <v>16</v>
      </c>
      <c r="E22" s="26">
        <v>46</v>
      </c>
      <c r="H22"/>
      <c r="I22"/>
      <c r="J22" s="3"/>
      <c r="K22" s="3"/>
      <c r="L22" s="3"/>
    </row>
    <row r="23" spans="1:12" ht="15" thickBot="1" x14ac:dyDescent="0.35">
      <c r="A23" s="27" t="s">
        <v>62</v>
      </c>
      <c r="B23" s="28" t="s">
        <v>18</v>
      </c>
      <c r="C23" s="29">
        <v>31</v>
      </c>
      <c r="D23" s="29" t="s">
        <v>16</v>
      </c>
      <c r="E23" s="30">
        <v>64</v>
      </c>
      <c r="H23"/>
      <c r="I23"/>
      <c r="J23" s="3"/>
      <c r="K23" s="3"/>
      <c r="L23" s="3"/>
    </row>
    <row r="26" spans="1:12" ht="15" thickBot="1" x14ac:dyDescent="0.35">
      <c r="A26" s="20" t="s">
        <v>141</v>
      </c>
    </row>
    <row r="27" spans="1:12" x14ac:dyDescent="0.3">
      <c r="A27" s="21" t="s">
        <v>60</v>
      </c>
      <c r="B27" s="22" t="s">
        <v>18</v>
      </c>
      <c r="C27" s="23">
        <v>37</v>
      </c>
      <c r="D27" s="23" t="s">
        <v>16</v>
      </c>
      <c r="E27" s="24">
        <v>41</v>
      </c>
      <c r="H27"/>
      <c r="I27"/>
      <c r="J27" s="3"/>
      <c r="K27" s="3"/>
      <c r="L27" s="3"/>
    </row>
    <row r="28" spans="1:12" ht="15" thickBot="1" x14ac:dyDescent="0.35">
      <c r="A28" s="27" t="s">
        <v>44</v>
      </c>
      <c r="B28" s="28" t="s">
        <v>62</v>
      </c>
      <c r="C28" s="29">
        <v>40</v>
      </c>
      <c r="D28" s="29" t="s">
        <v>16</v>
      </c>
      <c r="E28" s="30">
        <v>17</v>
      </c>
      <c r="H28"/>
      <c r="I28"/>
      <c r="J28" s="3"/>
      <c r="K28" s="3"/>
      <c r="L28" s="3"/>
    </row>
    <row r="31" spans="1:12" ht="15" thickBot="1" x14ac:dyDescent="0.35">
      <c r="A31" s="20" t="s">
        <v>145</v>
      </c>
    </row>
    <row r="32" spans="1:12" x14ac:dyDescent="0.3">
      <c r="A32" s="21" t="s">
        <v>60</v>
      </c>
      <c r="B32" s="22" t="s">
        <v>28</v>
      </c>
      <c r="C32" s="23">
        <v>55</v>
      </c>
      <c r="D32" s="23" t="s">
        <v>16</v>
      </c>
      <c r="E32" s="24">
        <v>20</v>
      </c>
    </row>
    <row r="33" spans="1:12" x14ac:dyDescent="0.3">
      <c r="A33" s="25" t="s">
        <v>44</v>
      </c>
      <c r="B33" s="6" t="s">
        <v>60</v>
      </c>
      <c r="C33" s="7">
        <v>35</v>
      </c>
      <c r="D33" s="7" t="s">
        <v>16</v>
      </c>
      <c r="E33" s="26">
        <v>44</v>
      </c>
    </row>
    <row r="34" spans="1:12" x14ac:dyDescent="0.3">
      <c r="A34" s="25" t="s">
        <v>18</v>
      </c>
      <c r="B34" s="6" t="s">
        <v>44</v>
      </c>
      <c r="C34" s="7">
        <v>24</v>
      </c>
      <c r="D34" s="7" t="s">
        <v>16</v>
      </c>
      <c r="E34" s="26">
        <v>36</v>
      </c>
    </row>
    <row r="35" spans="1:12" ht="15" thickBot="1" x14ac:dyDescent="0.35">
      <c r="A35" s="27" t="s">
        <v>62</v>
      </c>
      <c r="B35" s="28" t="s">
        <v>28</v>
      </c>
      <c r="C35" s="29">
        <v>35</v>
      </c>
      <c r="D35" s="29" t="s">
        <v>16</v>
      </c>
      <c r="E35" s="30">
        <v>30</v>
      </c>
    </row>
    <row r="37" spans="1:12" x14ac:dyDescent="0.3">
      <c r="H37" s="41"/>
      <c r="I37"/>
    </row>
    <row r="38" spans="1:12" x14ac:dyDescent="0.3">
      <c r="G38" s="42"/>
      <c r="H38"/>
      <c r="I38"/>
      <c r="J38" s="3"/>
      <c r="K38" s="3"/>
      <c r="L38" s="3"/>
    </row>
    <row r="39" spans="1:12" x14ac:dyDescent="0.3">
      <c r="H39"/>
      <c r="I39"/>
      <c r="J39" s="3"/>
      <c r="K39" s="3"/>
      <c r="L39" s="3"/>
    </row>
    <row r="40" spans="1:12" x14ac:dyDescent="0.3">
      <c r="H40"/>
      <c r="I40"/>
      <c r="J40" s="3"/>
      <c r="K40" s="3"/>
      <c r="L40" s="3"/>
    </row>
    <row r="41" spans="1:12" x14ac:dyDescent="0.3">
      <c r="H41"/>
      <c r="I41"/>
      <c r="J41" s="3"/>
      <c r="K41" s="3"/>
      <c r="L41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61601-A6DD-4DF7-9122-8FBE5ADBB1C4}">
  <sheetPr codeName="Sheet13">
    <tabColor theme="9" tint="0.39997558519241921"/>
  </sheetPr>
  <dimension ref="A1:AG45"/>
  <sheetViews>
    <sheetView workbookViewId="0">
      <selection activeCell="H19" sqref="H19"/>
    </sheetView>
  </sheetViews>
  <sheetFormatPr defaultRowHeight="14.4" x14ac:dyDescent="0.3"/>
  <cols>
    <col min="1" max="1" width="31.44140625" bestFit="1" customWidth="1"/>
    <col min="2" max="2" width="15.664062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5.664062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6.332031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8" width="3.109375" hidden="1" customWidth="1"/>
    <col min="29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46" t="s">
        <v>112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Cape Town C</v>
      </c>
      <c r="X3" s="2" cm="1">
        <f t="array" ref="X3">SUM(($A$17:$A$619=W3)*(ISNUMBER($C$17:$C$619)),($B$17:$B$619=W3)*(ISNUMBER($E$17:$E$619)))</f>
        <v>5</v>
      </c>
      <c r="Y3" s="3" cm="1">
        <f t="array" ref="Y3">SUMPRODUCT(($A$17:$A$619=W3)*($C$17:$C$619&gt;$E$17:$E$619)) +
 SUMPRODUCT(($B$17:$B$619=W3)*($E$17:$E$619&gt;$C$17:$C$619))</f>
        <v>5</v>
      </c>
      <c r="Z3" s="3" cm="1">
        <f t="array" ref="Z3">SUM(($A$17:$A$619=W3)*($C$17:$C$619=$E$17:$E$619)*ISNUMBER($E$17:$E$619),($B$17:$B$619=W3)*($E$17:$E$619=$C$17:$C$619)*ISNUMBER($C$17:$C$619))</f>
        <v>0</v>
      </c>
      <c r="AA3" s="3" cm="1">
        <f t="array" ref="AA3">SUM(($A$17:$A$619=W3)*($C$17:$C$619&lt;$E$17:$E$619),($B$17:$B$619=W3)*($E$17:$E$619&lt;$C$17:$C$619))</f>
        <v>0</v>
      </c>
      <c r="AB3" s="4">
        <f t="shared" ref="AB3:AB8" si="0">SUMIF($A$17:$A$619,W3,$C$17:$C$619)+SUMIF($B$17:$B$619,W3,$E$17:$E$619)</f>
        <v>306</v>
      </c>
      <c r="AC3" s="5">
        <f t="shared" ref="AC3:AC8" si="1">SUMIF($A$17:$A$619,W3,$E$17:$E$619)+SUMIF($B$17:$B$619,W3,$C$17:$C$619)</f>
        <v>133</v>
      </c>
      <c r="AD3" s="3">
        <f>AB3-AC3</f>
        <v>173</v>
      </c>
      <c r="AE3" s="4">
        <f>Y3*Points!$B$2+Z3*Points!$B$3</f>
        <v>10</v>
      </c>
      <c r="AF3">
        <f>AB3+AD3*10000+AE3*100000000</f>
        <v>1001730306</v>
      </c>
      <c r="AG3">
        <f>AB3/AC3/X3</f>
        <v>0.46015037593984964</v>
      </c>
    </row>
    <row r="4" spans="1:33" ht="28.8" x14ac:dyDescent="0.55000000000000004">
      <c r="A4" s="6" t="s">
        <v>113</v>
      </c>
      <c r="H4" s="111" t="s">
        <v>112</v>
      </c>
      <c r="I4" s="112"/>
      <c r="J4" s="112"/>
      <c r="K4" s="112"/>
      <c r="L4" s="112"/>
      <c r="M4" s="112"/>
      <c r="N4" s="112"/>
      <c r="O4" s="112"/>
      <c r="P4" s="112"/>
      <c r="Q4" s="112"/>
      <c r="W4" s="1" t="str">
        <f>A5</f>
        <v>JTG A</v>
      </c>
      <c r="X4" s="2" cm="1">
        <f t="array" ref="X4">SUM(($A$17:$A$619=W4)*(ISNUMBER($C$17:$C$619)),($B$17:$B$619=W4)*(ISNUMBER($E$17:$E$619)))</f>
        <v>5</v>
      </c>
      <c r="Y4" s="3" cm="1">
        <f t="array" ref="Y4">SUMPRODUCT(($A$17:$A$619=W4)*($C$17:$C$619&gt;$E$17:$E$619)) +
 SUMPRODUCT(($B$17:$B$619=W4)*($E$17:$E$619&gt;$C$17:$C$619))</f>
        <v>1</v>
      </c>
      <c r="Z4" s="3" cm="1">
        <f t="array" ref="Z4">SUM(($A$17:$A$619=W4)*($C$17:$C$619=$E$17:$E$619)*ISNUMBER($E$17:$E$619),($B$17:$B$619=W4)*($E$17:$E$619=$C$17:$C$619)*ISNUMBER($C$17:$C$619))</f>
        <v>0</v>
      </c>
      <c r="AA4" s="3" cm="1">
        <f t="array" ref="AA4">SUM(($A$17:$A$619=W4)*($C$17:$C$619&lt;$E$17:$E$619),($B$17:$B$619=W4)*($E$17:$E$619&lt;$C$17:$C$619))</f>
        <v>4</v>
      </c>
      <c r="AB4" s="4">
        <f t="shared" si="0"/>
        <v>151</v>
      </c>
      <c r="AC4" s="5">
        <f t="shared" si="1"/>
        <v>239</v>
      </c>
      <c r="AD4" s="3">
        <f t="shared" ref="AD4" si="2">AB4-AC4</f>
        <v>-88</v>
      </c>
      <c r="AE4" s="4">
        <f>Y4*Points!$B$2+Z4*Points!$B$3</f>
        <v>2</v>
      </c>
      <c r="AF4">
        <f t="shared" ref="AF4" si="3">AB4+AD4*10000+AE4*100000000</f>
        <v>199120151</v>
      </c>
      <c r="AG4">
        <f t="shared" ref="AG4:AG7" si="4">AB4/AC4/X4</f>
        <v>0.12635983263598327</v>
      </c>
    </row>
    <row r="5" spans="1:33" x14ac:dyDescent="0.3">
      <c r="A5" s="6" t="s">
        <v>114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ZFM</v>
      </c>
      <c r="X5" s="2" cm="1">
        <f t="array" ref="X5">SUM(($A$17:$A$619=W5)*(ISNUMBER($C$17:$C$619)),($B$17:$B$619=W5)*(ISNUMBER($E$17:$E$619)))</f>
        <v>5</v>
      </c>
      <c r="Y5" s="3" cm="1">
        <f t="array" ref="Y5">SUMPRODUCT(($A$17:$A$619=W5)*($C$17:$C$619&gt;$E$17:$E$619)) +
 SUMPRODUCT(($B$17:$B$619=W5)*($E$17:$E$619&gt;$C$17:$C$619))</f>
        <v>2</v>
      </c>
      <c r="Z5" s="3" cm="1">
        <f t="array" ref="Z5">SUM(($A$17:$A$619=W5)*($C$17:$C$619=$E$17:$E$619)*ISNUMBER($E$17:$E$619),($B$17:$B$619=W5)*($E$17:$E$619=$C$17:$C$619)*ISNUMBER($C$17:$C$619))</f>
        <v>0</v>
      </c>
      <c r="AA5" s="3" cm="1">
        <f t="array" ref="AA5">SUM(($A$17:$A$619=W5)*($C$17:$C$619&lt;$E$17:$E$619),($B$17:$B$619=W5)*($E$17:$E$619&lt;$C$17:$C$619))</f>
        <v>3</v>
      </c>
      <c r="AB5" s="4">
        <f t="shared" si="0"/>
        <v>182</v>
      </c>
      <c r="AC5" s="5">
        <f t="shared" si="1"/>
        <v>238</v>
      </c>
      <c r="AD5" s="3">
        <f>AB5-AC5</f>
        <v>-56</v>
      </c>
      <c r="AE5" s="4">
        <f>Y5*Points!$B$2+Z5*Points!$B$3</f>
        <v>4</v>
      </c>
      <c r="AF5">
        <f>AB5+AD5*10000+AE5*100000000</f>
        <v>399440182</v>
      </c>
      <c r="AG5">
        <f t="shared" si="4"/>
        <v>0.15294117647058822</v>
      </c>
    </row>
    <row r="6" spans="1:33" x14ac:dyDescent="0.3">
      <c r="A6" s="6" t="s">
        <v>59</v>
      </c>
      <c r="H6" s="6" t="str" cm="1">
        <f t="array" ref="H6">INDEX($W$3:$W$8,MATCH(LARGE($AF$3:$AF$8-ROW($AF$3:$AF$8)/COUNT($AF$3:$AF$8),ROW(H6)-ROW(H$6)+1),$AF$3:$AF$8-ROW($AF$3:$AF$8)/COUNT($AF$3:$AF$8),0))</f>
        <v>Cape Town C</v>
      </c>
      <c r="I6" s="7">
        <f t="shared" ref="I6:I11" si="5">VLOOKUP($H6,$W$3:$AE$10,2,0)</f>
        <v>5</v>
      </c>
      <c r="J6" s="7">
        <f t="shared" ref="J6:J11" si="6">VLOOKUP($H6,$W$3:$AE$10,3,0)</f>
        <v>5</v>
      </c>
      <c r="K6" s="7">
        <f t="shared" ref="K6:K11" si="7">VLOOKUP($H6,$W$3:$AE$10,5,0)</f>
        <v>0</v>
      </c>
      <c r="L6" s="7">
        <f t="shared" ref="L6:L11" si="8">VLOOKUP($H6,$W$3:$AE$10,4,0)</f>
        <v>0</v>
      </c>
      <c r="M6" s="7">
        <f>VLOOKUP($H6,$W$3:$AE$12,9,0)</f>
        <v>10</v>
      </c>
      <c r="N6" s="7">
        <f t="shared" ref="N6:N11" si="9">VLOOKUP($H6,$W$3:$AE$12,6,0)</f>
        <v>306</v>
      </c>
      <c r="O6" s="7">
        <f t="shared" ref="O6:O11" si="10">VLOOKUP($H6,$W$3:$AE$12,7,0)</f>
        <v>133</v>
      </c>
      <c r="P6" s="7">
        <f t="shared" ref="P6:P11" si="11">VLOOKUP($H6,$W$3:$AE$12,8,0)</f>
        <v>173</v>
      </c>
      <c r="Q6" s="60">
        <f>VLOOKUP($H6,$W$3:$AG$9,11,0)</f>
        <v>0.46015037593984964</v>
      </c>
      <c r="W6" s="1" t="str">
        <f t="shared" ref="W6:W8" si="12">A7</f>
        <v>Johannesburg C</v>
      </c>
      <c r="X6" s="2" cm="1">
        <f t="array" ref="X6">SUM(($A$17:$A$619=W6)*(ISNUMBER($C$17:$C$619)),($B$17:$B$619=W6)*(ISNUMBER($E$17:$E$619)))</f>
        <v>5</v>
      </c>
      <c r="Y6" s="3" cm="1">
        <f t="array" ref="Y6">SUMPRODUCT(($A$17:$A$619=W6)*($C$17:$C$619&gt;$E$17:$E$619)) +
 SUMPRODUCT(($B$17:$B$619=W6)*($E$17:$E$619&gt;$C$17:$C$619))</f>
        <v>3</v>
      </c>
      <c r="Z6" s="3" cm="1">
        <f t="array" ref="Z6">SUM(($A$17:$A$619=W6)*($C$17:$C$619=$E$17:$E$619)*ISNUMBER($E$17:$E$619),($B$17:$B$619=W6)*($E$17:$E$619=$C$17:$C$619)*ISNUMBER($C$17:$C$619))</f>
        <v>0</v>
      </c>
      <c r="AA6" s="3" cm="1">
        <f t="array" ref="AA6">SUM(($A$17:$A$619=W6)*($C$17:$C$619&lt;$E$17:$E$619),($B$17:$B$619=W6)*($E$17:$E$619&lt;$C$17:$C$619))</f>
        <v>2</v>
      </c>
      <c r="AB6" s="4">
        <f t="shared" si="0"/>
        <v>235</v>
      </c>
      <c r="AC6" s="5">
        <f t="shared" si="1"/>
        <v>165</v>
      </c>
      <c r="AD6" s="3">
        <f t="shared" ref="AD6:AD8" si="13">AB6-AC6</f>
        <v>70</v>
      </c>
      <c r="AE6" s="4">
        <f>Y6*Points!$B$2+Z6*Points!$B$3</f>
        <v>6</v>
      </c>
      <c r="AF6">
        <f t="shared" ref="AF6:AF8" si="14">AB6+AD6*10000+AE6*100000000</f>
        <v>600700235</v>
      </c>
      <c r="AG6">
        <f t="shared" si="4"/>
        <v>0.28484848484848485</v>
      </c>
    </row>
    <row r="7" spans="1:33" x14ac:dyDescent="0.3">
      <c r="A7" s="6" t="s">
        <v>12</v>
      </c>
      <c r="H7" s="6" t="str" cm="1">
        <f t="array" ref="H7">INDEX($W$3:$W$8,MATCH(LARGE($AF$3:$AF$8-ROW($AF$3:$AF$8)/COUNT($AF$3:$AF$8),ROW(H7)-ROW(H$6)+1),$AF$3:$AF$8-ROW($AF$3:$AF$8)/COUNT($AF$3:$AF$8),0))</f>
        <v>Cape Winelands B</v>
      </c>
      <c r="I7" s="7">
        <f t="shared" si="5"/>
        <v>5</v>
      </c>
      <c r="J7" s="7">
        <f t="shared" si="6"/>
        <v>4</v>
      </c>
      <c r="K7" s="7">
        <f t="shared" si="7"/>
        <v>1</v>
      </c>
      <c r="L7" s="7">
        <f t="shared" si="8"/>
        <v>0</v>
      </c>
      <c r="M7" s="7">
        <f t="shared" ref="M7" si="15">VLOOKUP($H7,$W$3:$AE$12,9,0)</f>
        <v>8</v>
      </c>
      <c r="N7" s="7">
        <f t="shared" si="9"/>
        <v>204</v>
      </c>
      <c r="O7" s="7">
        <f t="shared" si="10"/>
        <v>169</v>
      </c>
      <c r="P7" s="7">
        <f t="shared" si="11"/>
        <v>35</v>
      </c>
      <c r="Q7" s="60">
        <f t="shared" ref="Q7:Q11" si="16">VLOOKUP($H7,$W$3:$AG$9,11,0)</f>
        <v>0.24142011834319527</v>
      </c>
      <c r="W7" s="1" t="str">
        <f t="shared" si="12"/>
        <v>Cape Winelands B</v>
      </c>
      <c r="X7" s="2" cm="1">
        <f t="array" ref="X7">SUM(($A$17:$A$619=W7)*(ISNUMBER($C$17:$C$619)),($B$17:$B$619=W7)*(ISNUMBER($E$17:$E$619)))</f>
        <v>5</v>
      </c>
      <c r="Y7" s="3" cm="1">
        <f t="array" ref="Y7">SUMPRODUCT(($A$17:$A$619=W7)*($C$17:$C$619&gt;$E$17:$E$619)) +
 SUMPRODUCT(($B$17:$B$619=W7)*($E$17:$E$619&gt;$C$17:$C$619))</f>
        <v>4</v>
      </c>
      <c r="Z7" s="3" cm="1">
        <f t="array" ref="Z7">SUM(($A$17:$A$619=W7)*($C$17:$C$619=$E$17:$E$619)*ISNUMBER($E$17:$E$619),($B$17:$B$619=W7)*($E$17:$E$619=$C$17:$C$619)*ISNUMBER($C$17:$C$619))</f>
        <v>0</v>
      </c>
      <c r="AA7" s="3" cm="1">
        <f t="array" ref="AA7">SUM(($A$17:$A$619=W7)*($C$17:$C$619&lt;$E$17:$E$619),($B$17:$B$619=W7)*($E$17:$E$619&lt;$C$17:$C$619))</f>
        <v>1</v>
      </c>
      <c r="AB7" s="4">
        <f t="shared" si="0"/>
        <v>204</v>
      </c>
      <c r="AC7" s="5">
        <f t="shared" si="1"/>
        <v>169</v>
      </c>
      <c r="AD7" s="3">
        <f t="shared" si="13"/>
        <v>35</v>
      </c>
      <c r="AE7" s="4">
        <f>Y7*Points!$B$2+Z7*Points!$B$3</f>
        <v>8</v>
      </c>
      <c r="AF7">
        <f t="shared" si="14"/>
        <v>800350204</v>
      </c>
      <c r="AG7">
        <f t="shared" si="4"/>
        <v>0.24142011834319527</v>
      </c>
    </row>
    <row r="8" spans="1:33" x14ac:dyDescent="0.3">
      <c r="A8" s="6" t="s">
        <v>115</v>
      </c>
      <c r="H8" s="6" t="str" cm="1">
        <f t="array" ref="H8">INDEX($W$3:$W$8,MATCH(LARGE($AF$3:$AF$8-ROW($AF$3:$AF$8)/COUNT($AF$3:$AF$8),ROW(H8)-ROW(H$6)+1),$AF$3:$AF$8-ROW($AF$3:$AF$8)/COUNT($AF$3:$AF$8),0))</f>
        <v>Johannesburg C</v>
      </c>
      <c r="I8" s="7">
        <f t="shared" si="5"/>
        <v>5</v>
      </c>
      <c r="J8" s="7">
        <f t="shared" si="6"/>
        <v>3</v>
      </c>
      <c r="K8" s="7">
        <f t="shared" si="7"/>
        <v>2</v>
      </c>
      <c r="L8" s="7">
        <f t="shared" si="8"/>
        <v>0</v>
      </c>
      <c r="M8" s="7">
        <f>VLOOKUP($H8,$W$3:$AE$12,9,0)</f>
        <v>6</v>
      </c>
      <c r="N8" s="7">
        <f t="shared" si="9"/>
        <v>235</v>
      </c>
      <c r="O8" s="7">
        <f t="shared" si="10"/>
        <v>165</v>
      </c>
      <c r="P8" s="7">
        <f t="shared" si="11"/>
        <v>70</v>
      </c>
      <c r="Q8" s="60">
        <f t="shared" si="16"/>
        <v>0.28484848484848485</v>
      </c>
      <c r="W8" s="1" t="str">
        <f t="shared" si="12"/>
        <v>DCS</v>
      </c>
      <c r="X8" s="2" cm="1">
        <f t="array" ref="X8">SUM(($A$17:$A$619=W8)*(ISNUMBER($C$17:$C$619)),($B$17:$B$619=W8)*(ISNUMBER($E$17:$E$619)))</f>
        <v>5</v>
      </c>
      <c r="Y8" s="3" cm="1">
        <f t="array" ref="Y8">SUMPRODUCT(($A$17:$A$619=W8)*($C$17:$C$619&gt;$E$17:$E$619)) +
 SUMPRODUCT(($B$17:$B$619=W8)*($E$17:$E$619&gt;$C$17:$C$619))</f>
        <v>0</v>
      </c>
      <c r="Z8" s="3" cm="1">
        <f t="array" ref="Z8">SUM(($A$17:$A$619=W8)*($C$17:$C$619=$E$17:$E$619)*ISNUMBER($E$17:$E$619),($B$17:$B$619=W8)*($E$17:$E$619=$C$17:$C$619)*ISNUMBER($C$17:$C$619))</f>
        <v>0</v>
      </c>
      <c r="AA8" s="3" cm="1">
        <f t="array" ref="AA8">SUM(($A$17:$A$619=W8)*($C$17:$C$619&lt;$E$17:$E$619),($B$17:$B$619=W8)*($E$17:$E$619&lt;$C$17:$C$619))</f>
        <v>5</v>
      </c>
      <c r="AB8" s="4">
        <f t="shared" si="0"/>
        <v>128</v>
      </c>
      <c r="AC8" s="5">
        <f t="shared" si="1"/>
        <v>262</v>
      </c>
      <c r="AD8" s="3">
        <f t="shared" si="13"/>
        <v>-134</v>
      </c>
      <c r="AE8" s="4">
        <f>Y8*Points!$B$2+Z8*Points!$B$3</f>
        <v>0</v>
      </c>
      <c r="AF8">
        <f t="shared" si="14"/>
        <v>-1339872</v>
      </c>
      <c r="AG8">
        <f>AB8/AC8/X8</f>
        <v>9.7709923664122136E-2</v>
      </c>
    </row>
    <row r="9" spans="1:33" x14ac:dyDescent="0.3">
      <c r="A9" s="6" t="s">
        <v>116</v>
      </c>
      <c r="H9" s="6" t="str" cm="1">
        <f t="array" ref="H9">INDEX($W$3:$W$8,MATCH(LARGE($AF$3:$AF$8-ROW($AF$3:$AF$8)/COUNT($AF$3:$AF$8),ROW(H9)-ROW(H$6)+1),$AF$3:$AF$8-ROW($AF$3:$AF$8)/COUNT($AF$3:$AF$8),0))</f>
        <v>ZFM</v>
      </c>
      <c r="I9" s="7">
        <f t="shared" si="5"/>
        <v>5</v>
      </c>
      <c r="J9" s="7">
        <f t="shared" si="6"/>
        <v>2</v>
      </c>
      <c r="K9" s="7">
        <f t="shared" si="7"/>
        <v>3</v>
      </c>
      <c r="L9" s="7">
        <f t="shared" si="8"/>
        <v>0</v>
      </c>
      <c r="M9" s="7">
        <f>VLOOKUP($H9,$W$3:$AE$12,9,0)</f>
        <v>4</v>
      </c>
      <c r="N9" s="7">
        <f t="shared" si="9"/>
        <v>182</v>
      </c>
      <c r="O9" s="7">
        <f t="shared" si="10"/>
        <v>238</v>
      </c>
      <c r="P9" s="7">
        <f t="shared" si="11"/>
        <v>-56</v>
      </c>
      <c r="Q9" s="60">
        <f t="shared" si="16"/>
        <v>0.15294117647058822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 s="6" t="str" cm="1">
        <f t="array" ref="H10">INDEX($W$3:$W$8,MATCH(LARGE($AF$3:$AF$8-ROW($AF$3:$AF$8)/COUNT($AF$3:$AF$8),ROW(H10)-ROW(H$6)+1),$AF$3:$AF$8-ROW($AF$3:$AF$8)/COUNT($AF$3:$AF$8),0))</f>
        <v>JTG A</v>
      </c>
      <c r="I10" s="7">
        <f t="shared" si="5"/>
        <v>5</v>
      </c>
      <c r="J10" s="7">
        <f t="shared" si="6"/>
        <v>1</v>
      </c>
      <c r="K10" s="7">
        <f t="shared" si="7"/>
        <v>4</v>
      </c>
      <c r="L10" s="7">
        <f t="shared" si="8"/>
        <v>0</v>
      </c>
      <c r="M10" s="7">
        <f>VLOOKUP($H10,$W$3:$AE$12,9,0)</f>
        <v>2</v>
      </c>
      <c r="N10" s="7">
        <f t="shared" si="9"/>
        <v>151</v>
      </c>
      <c r="O10" s="7">
        <f t="shared" si="10"/>
        <v>239</v>
      </c>
      <c r="P10" s="7">
        <f t="shared" si="11"/>
        <v>-88</v>
      </c>
      <c r="Q10" s="60">
        <f t="shared" si="16"/>
        <v>0.12635983263598327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INDEX($W$3:$W$8,MATCH(LARGE($AF$3:$AF$8-ROW($AF$3:$AF$8)/COUNT($AF$3:$AF$8),ROW(H11)-ROW(H$6)+1),$AF$3:$AF$8-ROW($AF$3:$AF$8)/COUNT($AF$3:$AF$8),0))</f>
        <v>DCS</v>
      </c>
      <c r="I11" s="7">
        <f t="shared" si="5"/>
        <v>5</v>
      </c>
      <c r="J11" s="7">
        <f t="shared" si="6"/>
        <v>0</v>
      </c>
      <c r="K11" s="7">
        <f t="shared" si="7"/>
        <v>5</v>
      </c>
      <c r="L11" s="7">
        <f t="shared" si="8"/>
        <v>0</v>
      </c>
      <c r="M11" s="7">
        <f>VLOOKUP($H11,$W$3:$AE$12,9,0)</f>
        <v>0</v>
      </c>
      <c r="N11" s="7">
        <f t="shared" si="9"/>
        <v>128</v>
      </c>
      <c r="O11" s="7">
        <f t="shared" si="10"/>
        <v>262</v>
      </c>
      <c r="P11" s="7">
        <f t="shared" si="11"/>
        <v>-134</v>
      </c>
      <c r="Q11" s="60">
        <f t="shared" si="16"/>
        <v>9.7709923664122136E-2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2" ht="15" thickBot="1" x14ac:dyDescent="0.35">
      <c r="A17" s="53" t="s">
        <v>59</v>
      </c>
      <c r="B17" s="54" t="s">
        <v>116</v>
      </c>
      <c r="C17" s="55">
        <v>43</v>
      </c>
      <c r="D17" s="55" t="s">
        <v>16</v>
      </c>
      <c r="E17" s="56">
        <v>30</v>
      </c>
      <c r="F17" s="3"/>
      <c r="H17"/>
      <c r="I17"/>
      <c r="J17" s="3"/>
      <c r="K17" s="3"/>
      <c r="L17" s="3"/>
    </row>
    <row r="18" spans="1:12" x14ac:dyDescent="0.3">
      <c r="F18" s="3"/>
      <c r="H18"/>
      <c r="I18"/>
    </row>
    <row r="19" spans="1:12" x14ac:dyDescent="0.3">
      <c r="F19" s="3"/>
      <c r="H19"/>
      <c r="I19"/>
    </row>
    <row r="20" spans="1:12" ht="15" thickBot="1" x14ac:dyDescent="0.35">
      <c r="A20" s="20" t="s">
        <v>104</v>
      </c>
      <c r="F20" s="3"/>
      <c r="H20"/>
      <c r="I20"/>
    </row>
    <row r="21" spans="1:12" x14ac:dyDescent="0.3">
      <c r="A21" s="21" t="s">
        <v>113</v>
      </c>
      <c r="B21" s="22" t="s">
        <v>59</v>
      </c>
      <c r="C21" s="23">
        <v>67</v>
      </c>
      <c r="D21" s="23" t="str">
        <f>D17</f>
        <v>:</v>
      </c>
      <c r="E21" s="24">
        <v>32</v>
      </c>
      <c r="H21"/>
      <c r="I21"/>
      <c r="J21" s="3"/>
      <c r="K21" s="3"/>
      <c r="L21" s="3"/>
    </row>
    <row r="22" spans="1:12" x14ac:dyDescent="0.3">
      <c r="A22" s="25" t="s">
        <v>114</v>
      </c>
      <c r="B22" s="6" t="s">
        <v>115</v>
      </c>
      <c r="C22" s="7">
        <v>27</v>
      </c>
      <c r="D22" s="7" t="s">
        <v>16</v>
      </c>
      <c r="E22" s="26">
        <v>43</v>
      </c>
    </row>
    <row r="23" spans="1:12" ht="15" thickBot="1" x14ac:dyDescent="0.35">
      <c r="A23" s="27" t="s">
        <v>12</v>
      </c>
      <c r="B23" s="28" t="s">
        <v>116</v>
      </c>
      <c r="C23" s="29">
        <v>62</v>
      </c>
      <c r="D23" s="29" t="s">
        <v>16</v>
      </c>
      <c r="E23" s="30">
        <v>15</v>
      </c>
    </row>
    <row r="26" spans="1:12" ht="15" thickBot="1" x14ac:dyDescent="0.35">
      <c r="A26" s="20" t="s">
        <v>141</v>
      </c>
    </row>
    <row r="27" spans="1:12" x14ac:dyDescent="0.3">
      <c r="A27" s="21" t="s">
        <v>114</v>
      </c>
      <c r="B27" s="22" t="s">
        <v>12</v>
      </c>
      <c r="C27" s="23">
        <v>26</v>
      </c>
      <c r="D27" s="23" t="s">
        <v>16</v>
      </c>
      <c r="E27" s="24">
        <v>52</v>
      </c>
      <c r="H27"/>
      <c r="I27"/>
      <c r="J27" s="3"/>
      <c r="K27" s="3"/>
      <c r="L27" s="3"/>
    </row>
    <row r="28" spans="1:12" x14ac:dyDescent="0.3">
      <c r="A28" s="25" t="s">
        <v>113</v>
      </c>
      <c r="B28" s="6" t="s">
        <v>115</v>
      </c>
      <c r="C28" s="7">
        <v>47</v>
      </c>
      <c r="D28" s="7" t="s">
        <v>16</v>
      </c>
      <c r="E28" s="26">
        <v>34</v>
      </c>
      <c r="H28"/>
      <c r="I28"/>
      <c r="J28" s="3"/>
      <c r="K28" s="3"/>
      <c r="L28" s="3"/>
    </row>
    <row r="29" spans="1:12" x14ac:dyDescent="0.3">
      <c r="A29" s="25" t="s">
        <v>12</v>
      </c>
      <c r="B29" s="6" t="s">
        <v>59</v>
      </c>
      <c r="C29" s="7">
        <v>58</v>
      </c>
      <c r="D29" s="7" t="s">
        <v>16</v>
      </c>
      <c r="E29" s="26">
        <v>40</v>
      </c>
    </row>
    <row r="30" spans="1:12" x14ac:dyDescent="0.3">
      <c r="A30" s="25" t="s">
        <v>114</v>
      </c>
      <c r="B30" s="6" t="s">
        <v>113</v>
      </c>
      <c r="C30" s="7">
        <v>22</v>
      </c>
      <c r="D30" s="7" t="s">
        <v>16</v>
      </c>
      <c r="E30" s="26">
        <v>71</v>
      </c>
    </row>
    <row r="31" spans="1:12" ht="15" thickBot="1" x14ac:dyDescent="0.35">
      <c r="A31" s="27" t="s">
        <v>115</v>
      </c>
      <c r="B31" s="28" t="s">
        <v>116</v>
      </c>
      <c r="C31" s="29">
        <v>43</v>
      </c>
      <c r="D31" s="29" t="s">
        <v>16</v>
      </c>
      <c r="E31" s="30">
        <v>35</v>
      </c>
    </row>
    <row r="35" spans="1:12" ht="15" thickBot="1" x14ac:dyDescent="0.35">
      <c r="A35" s="20" t="s">
        <v>145</v>
      </c>
    </row>
    <row r="36" spans="1:12" x14ac:dyDescent="0.3">
      <c r="A36" s="21" t="s">
        <v>114</v>
      </c>
      <c r="B36" s="22" t="s">
        <v>116</v>
      </c>
      <c r="C36" s="23">
        <v>42</v>
      </c>
      <c r="D36" s="23" t="s">
        <v>16</v>
      </c>
      <c r="E36" s="24">
        <v>38</v>
      </c>
    </row>
    <row r="37" spans="1:12" x14ac:dyDescent="0.3">
      <c r="A37" s="25" t="s">
        <v>59</v>
      </c>
      <c r="B37" s="6" t="s">
        <v>114</v>
      </c>
      <c r="C37" s="7">
        <v>35</v>
      </c>
      <c r="D37" s="6" t="s">
        <v>16</v>
      </c>
      <c r="E37" s="26">
        <v>34</v>
      </c>
    </row>
    <row r="38" spans="1:12" x14ac:dyDescent="0.3">
      <c r="A38" s="25" t="s">
        <v>113</v>
      </c>
      <c r="B38" s="6" t="s">
        <v>116</v>
      </c>
      <c r="C38" s="7">
        <v>72</v>
      </c>
      <c r="D38" s="6" t="s">
        <v>16</v>
      </c>
      <c r="E38" s="26">
        <v>10</v>
      </c>
    </row>
    <row r="39" spans="1:12" x14ac:dyDescent="0.3">
      <c r="A39" s="25" t="s">
        <v>12</v>
      </c>
      <c r="B39" s="6" t="s">
        <v>115</v>
      </c>
      <c r="C39" s="7">
        <v>28</v>
      </c>
      <c r="D39" s="6" t="s">
        <v>16</v>
      </c>
      <c r="E39" s="26">
        <v>35</v>
      </c>
    </row>
    <row r="40" spans="1:12" x14ac:dyDescent="0.3">
      <c r="A40" s="25" t="s">
        <v>115</v>
      </c>
      <c r="B40" s="6" t="s">
        <v>59</v>
      </c>
      <c r="C40" s="6">
        <v>49</v>
      </c>
      <c r="D40" s="6" t="s">
        <v>16</v>
      </c>
      <c r="E40" s="91">
        <v>32</v>
      </c>
    </row>
    <row r="41" spans="1:12" ht="15" thickBot="1" x14ac:dyDescent="0.35">
      <c r="A41" s="27" t="s">
        <v>12</v>
      </c>
      <c r="B41" s="28" t="s">
        <v>113</v>
      </c>
      <c r="C41" s="28">
        <v>35</v>
      </c>
      <c r="D41" s="28" t="s">
        <v>16</v>
      </c>
      <c r="E41" s="90">
        <v>49</v>
      </c>
      <c r="H41" s="41"/>
      <c r="I41"/>
    </row>
    <row r="42" spans="1:12" x14ac:dyDescent="0.3">
      <c r="G42" s="42"/>
      <c r="H42"/>
      <c r="I42"/>
      <c r="J42" s="3"/>
      <c r="K42" s="3"/>
      <c r="L42" s="3"/>
    </row>
    <row r="43" spans="1:12" x14ac:dyDescent="0.3">
      <c r="H43"/>
      <c r="I43"/>
      <c r="J43" s="3"/>
      <c r="K43" s="3"/>
      <c r="L43" s="3"/>
    </row>
    <row r="44" spans="1:12" x14ac:dyDescent="0.3">
      <c r="H44"/>
      <c r="I44"/>
      <c r="J44" s="3"/>
      <c r="K44" s="3"/>
      <c r="L44" s="3"/>
    </row>
    <row r="45" spans="1:12" x14ac:dyDescent="0.3">
      <c r="H45"/>
      <c r="I45"/>
      <c r="J45" s="3"/>
      <c r="K45" s="3"/>
      <c r="L45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6F1A-7119-45AC-BA12-297FF4DF9A53}">
  <sheetPr codeName="Sheet12">
    <tabColor theme="0" tint="-0.499984740745262"/>
  </sheetPr>
  <dimension ref="A1:AG44"/>
  <sheetViews>
    <sheetView topLeftCell="B1" workbookViewId="0">
      <selection activeCell="H11" sqref="H11"/>
    </sheetView>
  </sheetViews>
  <sheetFormatPr defaultRowHeight="14.4" x14ac:dyDescent="0.3"/>
  <cols>
    <col min="1" max="1" width="28.88671875" bestFit="1" customWidth="1"/>
    <col min="2" max="2" width="14.1093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4.1093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4.6640625" bestFit="1" customWidth="1"/>
    <col min="17" max="17" width="12" bestFit="1" customWidth="1"/>
    <col min="21" max="21" width="11.44140625" customWidth="1"/>
    <col min="23" max="23" width="14.332031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8" width="3.109375" hidden="1" customWidth="1"/>
    <col min="29" max="29" width="4" hidden="1" customWidth="1"/>
    <col min="30" max="30" width="4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52" t="s">
        <v>111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uThukela</v>
      </c>
      <c r="X3" s="2" cm="1">
        <f t="array" ref="X3">SUM(($A$17:$A$618=W3)*(ISNUMBER($C$17:$C$618)),($B$17:$B$618=W3)*(ISNUMBER($E$17:$E$618)))</f>
        <v>5</v>
      </c>
      <c r="Y3" s="3" cm="1">
        <f t="array" ref="Y3">SUMPRODUCT(($A$17:$A$618=W3)*($C$17:$C$618&gt;$E$17:$E$618)) +
 SUMPRODUCT(($B$17:$B$618=W3)*($E$17:$E$618&gt;$C$17:$C$618))</f>
        <v>2</v>
      </c>
      <c r="Z3" s="3" cm="1">
        <f t="array" ref="Z3">SUM(($A$17:$A$618=W3)*($C$17:$C$618=$E$17:$E$618)*ISNUMBER($E$17:$E$618),($B$17:$B$618=W3)*($E$17:$E$618=$C$17:$C$618)*ISNUMBER($C$17:$C$618))</f>
        <v>0</v>
      </c>
      <c r="AA3" s="3" cm="1">
        <f t="array" ref="AA3">SUM(($A$17:$A$618=W3)*($C$17:$C$618&lt;$E$17:$E$618),($B$17:$B$618=W3)*($E$17:$E$618&lt;$C$17:$C$618))</f>
        <v>3</v>
      </c>
      <c r="AB3" s="4">
        <f t="shared" ref="AB3:AB8" si="0">SUMIF($A$17:$A$618,W3,$C$17:$C$618)+SUMIF($B$17:$B$618,W3,$E$17:$E$618)</f>
        <v>154</v>
      </c>
      <c r="AC3" s="5">
        <f t="shared" ref="AC3:AC8" si="1">SUMIF($A$17:$A$618,W3,$E$17:$E$618)+SUMIF($B$17:$B$618,W3,$C$17:$C$618)</f>
        <v>173</v>
      </c>
      <c r="AD3" s="3">
        <f>AB3-AC3</f>
        <v>-19</v>
      </c>
      <c r="AE3" s="4">
        <f>Y3*Points!$B$2+Z3*Points!$B$3</f>
        <v>4</v>
      </c>
      <c r="AF3">
        <f>AB3+AD3*10000+AE3*100000000</f>
        <v>399810154</v>
      </c>
      <c r="AG3">
        <f>AB3/AC3/X3</f>
        <v>0.17803468208092485</v>
      </c>
    </row>
    <row r="4" spans="1:33" ht="28.8" x14ac:dyDescent="0.55000000000000004">
      <c r="A4" s="6" t="s">
        <v>27</v>
      </c>
      <c r="H4" s="113" t="s">
        <v>111</v>
      </c>
      <c r="I4" s="114"/>
      <c r="J4" s="114"/>
      <c r="K4" s="114"/>
      <c r="L4" s="114"/>
      <c r="M4" s="114"/>
      <c r="N4" s="114"/>
      <c r="O4" s="114"/>
      <c r="P4" s="114"/>
      <c r="Q4" s="114"/>
      <c r="W4" s="1" t="str">
        <f>A5</f>
        <v>Sarah Baartman</v>
      </c>
      <c r="X4" s="2" cm="1">
        <f t="array" ref="X4">SUM(($A$17:$A$618=W4)*(ISNUMBER($C$17:$C$618)),($B$17:$B$618=W4)*(ISNUMBER($E$17:$E$618)))</f>
        <v>5</v>
      </c>
      <c r="Y4" s="3" cm="1">
        <f t="array" ref="Y4">SUMPRODUCT(($A$17:$A$618=W4)*($C$17:$C$618&gt;$E$17:$E$618)) +
 SUMPRODUCT(($B$17:$B$618=W4)*($E$17:$E$618&gt;$C$17:$C$618))</f>
        <v>3</v>
      </c>
      <c r="Z4" s="3" cm="1">
        <f t="array" ref="Z4">SUM(($A$17:$A$618=W4)*($C$17:$C$618=$E$17:$E$618)*ISNUMBER($E$17:$E$618),($B$17:$B$618=W4)*($E$17:$E$618=$C$17:$C$618)*ISNUMBER($C$17:$C$618))</f>
        <v>1</v>
      </c>
      <c r="AA4" s="3" cm="1">
        <f t="array" ref="AA4">SUM(($A$17:$A$618=W4)*($C$17:$C$618&lt;$E$17:$E$618),($B$17:$B$618=W4)*($E$17:$E$618&lt;$C$17:$C$618))</f>
        <v>1</v>
      </c>
      <c r="AB4" s="4">
        <f t="shared" si="0"/>
        <v>185</v>
      </c>
      <c r="AC4" s="5">
        <f t="shared" si="1"/>
        <v>130</v>
      </c>
      <c r="AD4" s="3">
        <f t="shared" ref="AD4" si="2">AB4-AC4</f>
        <v>55</v>
      </c>
      <c r="AE4" s="4">
        <f>Y4*Points!$B$2+Z4*Points!$B$3</f>
        <v>7</v>
      </c>
      <c r="AF4">
        <f t="shared" ref="AF4" si="3">AB4+AD4*10000+AE4*100000000</f>
        <v>700550185</v>
      </c>
      <c r="AG4">
        <f t="shared" ref="AG4:AG7" si="4">AB4/AC4/X4</f>
        <v>0.2846153846153846</v>
      </c>
    </row>
    <row r="5" spans="1:33" x14ac:dyDescent="0.3">
      <c r="A5" s="6" t="s">
        <v>65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Pixley</v>
      </c>
      <c r="X5" s="2" cm="1">
        <f t="array" ref="X5">SUM(($A$17:$A$618=W5)*(ISNUMBER($C$17:$C$618)),($B$17:$B$618=W5)*(ISNUMBER($E$17:$E$618)))</f>
        <v>5</v>
      </c>
      <c r="Y5" s="3" cm="1">
        <f t="array" ref="Y5">SUMPRODUCT(($A$17:$A$618=W5)*($C$17:$C$618&gt;$E$17:$E$618)) +
 SUMPRODUCT(($B$17:$B$618=W5)*($E$17:$E$618&gt;$C$17:$C$618))</f>
        <v>1</v>
      </c>
      <c r="Z5" s="3" cm="1">
        <f t="array" ref="Z5">SUM(($A$17:$A$618=W5)*($C$17:$C$618=$E$17:$E$618)*ISNUMBER($E$17:$E$618),($B$17:$B$618=W5)*($E$17:$E$618=$C$17:$C$618)*ISNUMBER($C$17:$C$618))</f>
        <v>0</v>
      </c>
      <c r="AA5" s="3" cm="1">
        <f t="array" ref="AA5">SUM(($A$17:$A$618=W5)*($C$17:$C$618&lt;$E$17:$E$618),($B$17:$B$618=W5)*($E$17:$E$618&lt;$C$17:$C$618))</f>
        <v>4</v>
      </c>
      <c r="AB5" s="4">
        <f t="shared" si="0"/>
        <v>125</v>
      </c>
      <c r="AC5" s="5">
        <f t="shared" si="1"/>
        <v>137</v>
      </c>
      <c r="AD5" s="3">
        <f>AB5-AC5</f>
        <v>-12</v>
      </c>
      <c r="AE5" s="4">
        <f>Y5*Points!$B$2+Z5*Points!$B$3</f>
        <v>2</v>
      </c>
      <c r="AF5">
        <f>AB5+AD5*10000+AE5*100000000</f>
        <v>199880125</v>
      </c>
      <c r="AG5">
        <f t="shared" si="4"/>
        <v>0.18248175182481752</v>
      </c>
    </row>
    <row r="6" spans="1:33" x14ac:dyDescent="0.3">
      <c r="A6" s="6" t="s">
        <v>20</v>
      </c>
      <c r="H6" s="6" t="str" cm="1">
        <f t="array" ref="H6">INDEX($W$3:$W$8,MATCH(LARGE($AF$3:$AF$8-ROW($AF$3:$AF$8)/COUNT($AF$3:$AF$8),ROW(H6)-ROW(H$6)+1),$AF$3:$AF$8-ROW($AF$3:$AF$8)/COUNT($AF$3:$AF$8),0))</f>
        <v>OR Tambo</v>
      </c>
      <c r="I6" s="7">
        <f t="shared" ref="I6:I11" si="5">VLOOKUP($H6,$W$3:$AE$10,2,0)</f>
        <v>5</v>
      </c>
      <c r="J6" s="7">
        <f t="shared" ref="J6:J11" si="6">VLOOKUP($H6,$W$3:$AE$10,3,0)</f>
        <v>5</v>
      </c>
      <c r="K6" s="7">
        <f t="shared" ref="K6:K11" si="7">VLOOKUP($H6,$W$3:$AE$10,5,0)</f>
        <v>0</v>
      </c>
      <c r="L6" s="7">
        <f t="shared" ref="L6:L11" si="8">VLOOKUP($H6,$W$3:$AE$10,4,0)</f>
        <v>0</v>
      </c>
      <c r="M6" s="7">
        <f>VLOOKUP($H6,$W$3:$AE$12,9,0)</f>
        <v>10</v>
      </c>
      <c r="N6" s="7">
        <f t="shared" ref="N6:N11" si="9">VLOOKUP($H6,$W$3:$AE$12,6,0)</f>
        <v>243</v>
      </c>
      <c r="O6" s="7">
        <f t="shared" ref="O6:O11" si="10">VLOOKUP($H6,$W$3:$AE$12,7,0)</f>
        <v>93</v>
      </c>
      <c r="P6" s="7">
        <f t="shared" ref="P6:P11" si="11">VLOOKUP($H6,$W$3:$AE$12,8,0)</f>
        <v>150</v>
      </c>
      <c r="Q6" s="59">
        <f>VLOOKUP($H6,$W$3:$AG$8,11,0)</f>
        <v>0.52258064516129032</v>
      </c>
      <c r="W6" s="1" t="str">
        <f t="shared" ref="W6:W8" si="12">A7</f>
        <v>OR Tambo</v>
      </c>
      <c r="X6" s="2" cm="1">
        <f t="array" ref="X6">SUM(($A$17:$A$618=W6)*(ISNUMBER($C$17:$C$618)),($B$17:$B$618=W6)*(ISNUMBER($E$17:$E$618)))</f>
        <v>5</v>
      </c>
      <c r="Y6" s="3" cm="1">
        <f t="array" ref="Y6">SUMPRODUCT(($A$17:$A$618=W6)*($C$17:$C$618&gt;$E$17:$E$618)) +
 SUMPRODUCT(($B$17:$B$618=W6)*($E$17:$E$618&gt;$C$17:$C$618))</f>
        <v>5</v>
      </c>
      <c r="Z6" s="3" cm="1">
        <f t="array" ref="Z6">SUM(($A$17:$A$618=W6)*($C$17:$C$618=$E$17:$E$618)*ISNUMBER($E$17:$E$618),($B$17:$B$618=W6)*($E$17:$E$618=$C$17:$C$618)*ISNUMBER($C$17:$C$618))</f>
        <v>0</v>
      </c>
      <c r="AA6" s="3" cm="1">
        <f t="array" ref="AA6">SUM(($A$17:$A$618=W6)*($C$17:$C$618&lt;$E$17:$E$618),($B$17:$B$618=W6)*($E$17:$E$618&lt;$C$17:$C$618))</f>
        <v>0</v>
      </c>
      <c r="AB6" s="4">
        <f t="shared" si="0"/>
        <v>243</v>
      </c>
      <c r="AC6" s="5">
        <f t="shared" si="1"/>
        <v>93</v>
      </c>
      <c r="AD6" s="3">
        <f t="shared" ref="AD6:AD8" si="13">AB6-AC6</f>
        <v>150</v>
      </c>
      <c r="AE6" s="4">
        <f>Y6*Points!$B$2+Z6*Points!$B$3</f>
        <v>10</v>
      </c>
      <c r="AF6">
        <f t="shared" ref="AF6:AF8" si="14">AB6+AD6*10000+AE6*100000000</f>
        <v>1001500243</v>
      </c>
      <c r="AG6">
        <f t="shared" si="4"/>
        <v>0.52258064516129032</v>
      </c>
    </row>
    <row r="7" spans="1:33" x14ac:dyDescent="0.3">
      <c r="A7" s="6" t="s">
        <v>45</v>
      </c>
      <c r="H7" s="6" t="str" cm="1">
        <f t="array" ref="H7">INDEX($W$3:$W$8,MATCH(LARGE($AF$3:$AF$8-ROW($AF$3:$AF$8)/COUNT($AF$3:$AF$8),ROW(H7)-ROW(H$6)+1),$AF$3:$AF$8-ROW($AF$3:$AF$8)/COUNT($AF$3:$AF$8),0))</f>
        <v>Sarah Baartman</v>
      </c>
      <c r="I7" s="7">
        <f t="shared" si="5"/>
        <v>5</v>
      </c>
      <c r="J7" s="7">
        <f t="shared" si="6"/>
        <v>3</v>
      </c>
      <c r="K7" s="7">
        <f t="shared" si="7"/>
        <v>1</v>
      </c>
      <c r="L7" s="7">
        <f t="shared" si="8"/>
        <v>1</v>
      </c>
      <c r="M7" s="7">
        <f t="shared" ref="M7" si="15">VLOOKUP($H7,$W$3:$AE$12,9,0)</f>
        <v>7</v>
      </c>
      <c r="N7" s="7">
        <f t="shared" si="9"/>
        <v>185</v>
      </c>
      <c r="O7" s="7">
        <f t="shared" si="10"/>
        <v>130</v>
      </c>
      <c r="P7" s="7">
        <f t="shared" si="11"/>
        <v>55</v>
      </c>
      <c r="Q7" s="59">
        <f t="shared" ref="Q7:Q11" si="16">VLOOKUP($H7,$W$3:$AG$8,11,0)</f>
        <v>0.2846153846153846</v>
      </c>
      <c r="W7" s="1" t="str">
        <f t="shared" si="12"/>
        <v>Nkangala B</v>
      </c>
      <c r="X7" s="2" cm="1">
        <f t="array" ref="X7">SUM(($A$17:$A$618=W7)*(ISNUMBER($C$17:$C$618)),($B$17:$B$618=W7)*(ISNUMBER($E$17:$E$618)))</f>
        <v>5</v>
      </c>
      <c r="Y7" s="3" cm="1">
        <f t="array" ref="Y7">SUMPRODUCT(($A$17:$A$618=W7)*($C$17:$C$618&gt;$E$17:$E$618)) +
 SUMPRODUCT(($B$17:$B$618=W7)*($E$17:$E$618&gt;$C$17:$C$618))</f>
        <v>3</v>
      </c>
      <c r="Z7" s="3" cm="1">
        <f t="array" ref="Z7">SUM(($A$17:$A$618=W7)*($C$17:$C$618=$E$17:$E$618)*ISNUMBER($E$17:$E$618),($B$17:$B$618=W7)*($E$17:$E$618=$C$17:$C$618)*ISNUMBER($C$17:$C$618))</f>
        <v>1</v>
      </c>
      <c r="AA7" s="3" cm="1">
        <f t="array" ref="AA7">SUM(($A$17:$A$618=W7)*($C$17:$C$618&lt;$E$17:$E$618),($B$17:$B$618=W7)*($E$17:$E$618&lt;$C$17:$C$618))</f>
        <v>1</v>
      </c>
      <c r="AB7" s="4">
        <f t="shared" si="0"/>
        <v>182</v>
      </c>
      <c r="AC7" s="5">
        <f t="shared" si="1"/>
        <v>130</v>
      </c>
      <c r="AD7" s="3">
        <f t="shared" si="13"/>
        <v>52</v>
      </c>
      <c r="AE7" s="4">
        <f>Y7*Points!$B$2+Z7*Points!$B$3</f>
        <v>7</v>
      </c>
      <c r="AF7">
        <f t="shared" si="14"/>
        <v>700520182</v>
      </c>
      <c r="AG7">
        <f t="shared" si="4"/>
        <v>0.27999999999999997</v>
      </c>
    </row>
    <row r="8" spans="1:33" x14ac:dyDescent="0.3">
      <c r="A8" s="6" t="s">
        <v>11</v>
      </c>
      <c r="H8" s="6" t="str" cm="1">
        <f t="array" ref="H8">INDEX($W$3:$W$8,MATCH(LARGE($AF$3:$AF$8-ROW($AF$3:$AF$8)/COUNT($AF$3:$AF$8),ROW(H8)-ROW(H$6)+1),$AF$3:$AF$8-ROW($AF$3:$AF$8)/COUNT($AF$3:$AF$8),0))</f>
        <v>Nkangala B</v>
      </c>
      <c r="I8" s="7">
        <f t="shared" si="5"/>
        <v>5</v>
      </c>
      <c r="J8" s="7">
        <f t="shared" si="6"/>
        <v>3</v>
      </c>
      <c r="K8" s="7">
        <f t="shared" si="7"/>
        <v>1</v>
      </c>
      <c r="L8" s="7">
        <f t="shared" si="8"/>
        <v>1</v>
      </c>
      <c r="M8" s="7">
        <f>VLOOKUP($H8,$W$3:$AE$12,9,0)</f>
        <v>7</v>
      </c>
      <c r="N8" s="7">
        <f t="shared" si="9"/>
        <v>182</v>
      </c>
      <c r="O8" s="7">
        <f t="shared" si="10"/>
        <v>130</v>
      </c>
      <c r="P8" s="7">
        <f t="shared" si="11"/>
        <v>52</v>
      </c>
      <c r="Q8" s="59">
        <f t="shared" si="16"/>
        <v>0.27999999999999997</v>
      </c>
      <c r="W8" s="1" t="str">
        <f t="shared" si="12"/>
        <v>Dr Ruth</v>
      </c>
      <c r="X8" s="2" cm="1">
        <f t="array" ref="X8">SUM(($A$17:$A$618=W8)*(ISNUMBER($C$17:$C$618)),($B$17:$B$618=W8)*(ISNUMBER($E$17:$E$618)))</f>
        <v>5</v>
      </c>
      <c r="Y8" s="3" cm="1">
        <f t="array" ref="Y8">SUMPRODUCT(($A$17:$A$618=W8)*($C$17:$C$618&gt;$E$17:$E$618)) +
 SUMPRODUCT(($B$17:$B$618=W8)*($E$17:$E$618&gt;$C$17:$C$618))</f>
        <v>0</v>
      </c>
      <c r="Z8" s="3" cm="1">
        <f t="array" ref="Z8">SUM(($A$17:$A$618=W8)*($C$17:$C$618=$E$17:$E$618)*ISNUMBER($E$17:$E$618),($B$17:$B$618=W8)*($E$17:$E$618=$C$17:$C$618)*ISNUMBER($C$17:$C$618))</f>
        <v>0</v>
      </c>
      <c r="AA8" s="3" cm="1">
        <f t="array" ref="AA8">SUM(($A$17:$A$618=W8)*($C$17:$C$618&lt;$E$17:$E$618),($B$17:$B$618=W8)*($E$17:$E$618&lt;$C$17:$C$618))</f>
        <v>5</v>
      </c>
      <c r="AB8" s="4">
        <f t="shared" si="0"/>
        <v>58</v>
      </c>
      <c r="AC8" s="5">
        <f t="shared" si="1"/>
        <v>284</v>
      </c>
      <c r="AD8" s="3">
        <f t="shared" si="13"/>
        <v>-226</v>
      </c>
      <c r="AE8" s="4">
        <f>Y8*Points!$B$2+Z8*Points!$B$3</f>
        <v>0</v>
      </c>
      <c r="AF8">
        <f t="shared" si="14"/>
        <v>-2259942</v>
      </c>
      <c r="AG8">
        <f>AB8/AC8/X8</f>
        <v>4.0845070422535212E-2</v>
      </c>
    </row>
    <row r="9" spans="1:33" x14ac:dyDescent="0.3">
      <c r="A9" s="6" t="s">
        <v>110</v>
      </c>
      <c r="H9" s="6" t="str" cm="1">
        <f t="array" ref="H9">INDEX($W$3:$W$8,MATCH(LARGE($AF$3:$AF$8-ROW($AF$3:$AF$8)/COUNT($AF$3:$AF$8),ROW(H9)-ROW(H$6)+1),$AF$3:$AF$8-ROW($AF$3:$AF$8)/COUNT($AF$3:$AF$8),0))</f>
        <v>uThukela</v>
      </c>
      <c r="I9" s="7">
        <f t="shared" si="5"/>
        <v>5</v>
      </c>
      <c r="J9" s="7">
        <f t="shared" si="6"/>
        <v>2</v>
      </c>
      <c r="K9" s="7">
        <f t="shared" si="7"/>
        <v>3</v>
      </c>
      <c r="L9" s="7">
        <f t="shared" si="8"/>
        <v>0</v>
      </c>
      <c r="M9" s="7">
        <f>VLOOKUP($H9,$W$3:$AE$12,9,0)</f>
        <v>4</v>
      </c>
      <c r="N9" s="7">
        <f t="shared" si="9"/>
        <v>154</v>
      </c>
      <c r="O9" s="7">
        <f t="shared" si="10"/>
        <v>173</v>
      </c>
      <c r="P9" s="7">
        <f t="shared" si="11"/>
        <v>-19</v>
      </c>
      <c r="Q9" s="59">
        <f t="shared" si="16"/>
        <v>0.17803468208092485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 s="6" t="str" cm="1">
        <f t="array" ref="H10">INDEX($W$3:$W$8,MATCH(LARGE($AF$3:$AF$8-ROW($AF$3:$AF$8)/COUNT($AF$3:$AF$8),ROW(H10)-ROW(H$6)+1),$AF$3:$AF$8-ROW($AF$3:$AF$8)/COUNT($AF$3:$AF$8),0))</f>
        <v>Pixley</v>
      </c>
      <c r="I10" s="7">
        <f t="shared" si="5"/>
        <v>5</v>
      </c>
      <c r="J10" s="7">
        <f t="shared" si="6"/>
        <v>1</v>
      </c>
      <c r="K10" s="7">
        <f t="shared" si="7"/>
        <v>4</v>
      </c>
      <c r="L10" s="7">
        <f t="shared" si="8"/>
        <v>0</v>
      </c>
      <c r="M10" s="7">
        <f>VLOOKUP($H10,$W$3:$AE$12,9,0)</f>
        <v>2</v>
      </c>
      <c r="N10" s="7">
        <f t="shared" si="9"/>
        <v>125</v>
      </c>
      <c r="O10" s="7">
        <f t="shared" si="10"/>
        <v>137</v>
      </c>
      <c r="P10" s="7">
        <f t="shared" si="11"/>
        <v>-12</v>
      </c>
      <c r="Q10" s="59">
        <f t="shared" si="16"/>
        <v>0.18248175182481752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INDEX($W$3:$W$8,MATCH(LARGE($AF$3:$AF$8-ROW($AF$3:$AF$8)/COUNT($AF$3:$AF$8),ROW(H11)-ROW(H$6)+1),$AF$3:$AF$8-ROW($AF$3:$AF$8)/COUNT($AF$3:$AF$8),0))</f>
        <v>Dr Ruth</v>
      </c>
      <c r="I11" s="7">
        <f t="shared" si="5"/>
        <v>5</v>
      </c>
      <c r="J11" s="7">
        <f t="shared" si="6"/>
        <v>0</v>
      </c>
      <c r="K11" s="7">
        <f t="shared" si="7"/>
        <v>5</v>
      </c>
      <c r="L11" s="7">
        <f t="shared" si="8"/>
        <v>0</v>
      </c>
      <c r="M11" s="7">
        <f>VLOOKUP($H11,$W$3:$AE$12,9,0)</f>
        <v>0</v>
      </c>
      <c r="N11" s="7">
        <f t="shared" si="9"/>
        <v>58</v>
      </c>
      <c r="O11" s="7">
        <f t="shared" si="10"/>
        <v>284</v>
      </c>
      <c r="P11" s="7">
        <f t="shared" si="11"/>
        <v>-226</v>
      </c>
      <c r="Q11" s="59">
        <f t="shared" si="16"/>
        <v>4.0845070422535212E-2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2" ht="15" thickBot="1" x14ac:dyDescent="0.35">
      <c r="A17" s="53" t="s">
        <v>65</v>
      </c>
      <c r="B17" s="54" t="s">
        <v>11</v>
      </c>
      <c r="C17" s="55">
        <v>32</v>
      </c>
      <c r="D17" s="55" t="s">
        <v>16</v>
      </c>
      <c r="E17" s="56">
        <v>32</v>
      </c>
      <c r="F17" s="3"/>
      <c r="H17"/>
      <c r="I17"/>
      <c r="J17" s="3"/>
      <c r="K17" s="3"/>
      <c r="L17" s="3"/>
    </row>
    <row r="18" spans="1:12" x14ac:dyDescent="0.3">
      <c r="F18" s="3"/>
      <c r="H18"/>
      <c r="I18"/>
    </row>
    <row r="19" spans="1:12" x14ac:dyDescent="0.3">
      <c r="F19" s="3"/>
      <c r="H19"/>
      <c r="I19"/>
    </row>
    <row r="20" spans="1:12" ht="15" thickBot="1" x14ac:dyDescent="0.35">
      <c r="A20" s="20" t="s">
        <v>104</v>
      </c>
      <c r="F20" s="3"/>
      <c r="H20"/>
      <c r="I20"/>
    </row>
    <row r="21" spans="1:12" x14ac:dyDescent="0.3">
      <c r="A21" s="21" t="s">
        <v>27</v>
      </c>
      <c r="B21" s="22" t="s">
        <v>110</v>
      </c>
      <c r="C21" s="23">
        <v>47</v>
      </c>
      <c r="D21" s="23" t="str">
        <f>D17</f>
        <v>:</v>
      </c>
      <c r="E21" s="24">
        <v>13</v>
      </c>
      <c r="H21"/>
      <c r="I21"/>
      <c r="J21" s="3"/>
      <c r="K21" s="3"/>
      <c r="L21" s="3"/>
    </row>
    <row r="22" spans="1:12" x14ac:dyDescent="0.3">
      <c r="A22" s="25" t="s">
        <v>27</v>
      </c>
      <c r="B22" s="6" t="s">
        <v>65</v>
      </c>
      <c r="C22" s="7">
        <v>32</v>
      </c>
      <c r="D22" s="7" t="s">
        <v>16</v>
      </c>
      <c r="E22" s="26">
        <v>39</v>
      </c>
      <c r="H22"/>
      <c r="I22"/>
      <c r="J22" s="3"/>
      <c r="K22" s="3"/>
      <c r="L22" s="3"/>
    </row>
    <row r="23" spans="1:12" x14ac:dyDescent="0.3">
      <c r="A23" s="25" t="s">
        <v>20</v>
      </c>
      <c r="B23" s="6" t="s">
        <v>11</v>
      </c>
      <c r="C23" s="7">
        <v>21</v>
      </c>
      <c r="D23" s="7" t="s">
        <v>16</v>
      </c>
      <c r="E23" s="26">
        <v>28</v>
      </c>
      <c r="H23"/>
      <c r="I23"/>
      <c r="J23" s="3"/>
      <c r="K23" s="3"/>
      <c r="L23" s="3"/>
    </row>
    <row r="24" spans="1:12" ht="15" thickBot="1" x14ac:dyDescent="0.35">
      <c r="A24" s="27" t="s">
        <v>45</v>
      </c>
      <c r="B24" s="28" t="s">
        <v>110</v>
      </c>
      <c r="C24" s="29">
        <v>74</v>
      </c>
      <c r="D24" s="29" t="s">
        <v>16</v>
      </c>
      <c r="E24" s="30">
        <v>6</v>
      </c>
      <c r="H24"/>
      <c r="I24"/>
      <c r="J24" s="3"/>
      <c r="K24" s="3"/>
      <c r="L24" s="3"/>
    </row>
    <row r="27" spans="1:12" ht="15" thickBot="1" x14ac:dyDescent="0.35">
      <c r="A27" s="20" t="s">
        <v>141</v>
      </c>
    </row>
    <row r="28" spans="1:12" x14ac:dyDescent="0.3">
      <c r="A28" s="21" t="s">
        <v>45</v>
      </c>
      <c r="B28" s="22" t="s">
        <v>20</v>
      </c>
      <c r="C28" s="23">
        <v>35</v>
      </c>
      <c r="D28" s="23"/>
      <c r="E28" s="24">
        <v>15</v>
      </c>
      <c r="H28"/>
      <c r="I28"/>
      <c r="J28" s="3"/>
      <c r="K28" s="3"/>
      <c r="L28" s="3"/>
    </row>
    <row r="29" spans="1:12" x14ac:dyDescent="0.3">
      <c r="A29" s="25" t="s">
        <v>45</v>
      </c>
      <c r="B29" s="6" t="s">
        <v>27</v>
      </c>
      <c r="C29" s="7">
        <v>54</v>
      </c>
      <c r="D29" s="7" t="s">
        <v>16</v>
      </c>
      <c r="E29" s="26">
        <v>25</v>
      </c>
      <c r="H29"/>
      <c r="I29"/>
      <c r="J29" s="3"/>
      <c r="K29" s="3"/>
      <c r="L29" s="3"/>
    </row>
    <row r="30" spans="1:12" x14ac:dyDescent="0.3">
      <c r="A30" s="25" t="s">
        <v>20</v>
      </c>
      <c r="B30" s="6" t="s">
        <v>65</v>
      </c>
      <c r="C30" s="7">
        <v>20</v>
      </c>
      <c r="D30" s="7" t="s">
        <v>16</v>
      </c>
      <c r="E30" s="26">
        <v>28</v>
      </c>
    </row>
    <row r="31" spans="1:12" ht="15" thickBot="1" x14ac:dyDescent="0.35">
      <c r="A31" s="27" t="s">
        <v>110</v>
      </c>
      <c r="B31" s="28" t="s">
        <v>11</v>
      </c>
      <c r="C31" s="29">
        <v>10</v>
      </c>
      <c r="D31" s="29" t="s">
        <v>16</v>
      </c>
      <c r="E31" s="30">
        <v>54</v>
      </c>
    </row>
    <row r="34" spans="1:12" ht="15" thickBot="1" x14ac:dyDescent="0.35">
      <c r="A34" s="20" t="s">
        <v>145</v>
      </c>
    </row>
    <row r="35" spans="1:12" x14ac:dyDescent="0.3">
      <c r="A35" s="21" t="s">
        <v>45</v>
      </c>
      <c r="B35" s="22" t="s">
        <v>11</v>
      </c>
      <c r="C35" s="23">
        <v>42</v>
      </c>
      <c r="D35" s="23" t="s">
        <v>16</v>
      </c>
      <c r="E35" s="24">
        <v>23</v>
      </c>
    </row>
    <row r="36" spans="1:12" x14ac:dyDescent="0.3">
      <c r="A36" s="25" t="s">
        <v>27</v>
      </c>
      <c r="B36" s="6" t="s">
        <v>20</v>
      </c>
      <c r="C36" s="7">
        <v>25</v>
      </c>
      <c r="D36" s="7" t="s">
        <v>16</v>
      </c>
      <c r="E36" s="26">
        <v>22</v>
      </c>
    </row>
    <row r="37" spans="1:12" x14ac:dyDescent="0.3">
      <c r="A37" s="25" t="s">
        <v>65</v>
      </c>
      <c r="B37" s="6" t="s">
        <v>110</v>
      </c>
      <c r="C37" s="7">
        <v>62</v>
      </c>
      <c r="D37" s="7" t="s">
        <v>16</v>
      </c>
      <c r="E37" s="26">
        <v>8</v>
      </c>
    </row>
    <row r="38" spans="1:12" x14ac:dyDescent="0.3">
      <c r="A38" s="25" t="s">
        <v>11</v>
      </c>
      <c r="B38" s="6" t="s">
        <v>27</v>
      </c>
      <c r="C38" s="7">
        <v>45</v>
      </c>
      <c r="D38" s="7" t="s">
        <v>16</v>
      </c>
      <c r="E38" s="26">
        <v>25</v>
      </c>
    </row>
    <row r="39" spans="1:12" x14ac:dyDescent="0.3">
      <c r="A39" s="25" t="s">
        <v>45</v>
      </c>
      <c r="B39" s="6" t="s">
        <v>65</v>
      </c>
      <c r="C39" s="6">
        <v>38</v>
      </c>
      <c r="D39" s="6" t="s">
        <v>16</v>
      </c>
      <c r="E39" s="91">
        <v>24</v>
      </c>
    </row>
    <row r="40" spans="1:12" ht="15" thickBot="1" x14ac:dyDescent="0.35">
      <c r="A40" s="27" t="s">
        <v>20</v>
      </c>
      <c r="B40" s="28" t="s">
        <v>110</v>
      </c>
      <c r="C40" s="28">
        <v>47</v>
      </c>
      <c r="D40" s="28" t="s">
        <v>16</v>
      </c>
      <c r="E40" s="90">
        <v>21</v>
      </c>
      <c r="H40" s="41"/>
      <c r="I40"/>
    </row>
    <row r="41" spans="1:12" x14ac:dyDescent="0.3">
      <c r="G41" s="42"/>
      <c r="H41"/>
      <c r="I41"/>
      <c r="J41" s="3"/>
      <c r="K41" s="3"/>
      <c r="L41" s="3"/>
    </row>
    <row r="42" spans="1:12" x14ac:dyDescent="0.3">
      <c r="H42"/>
      <c r="I42"/>
      <c r="J42" s="3"/>
      <c r="K42" s="3"/>
      <c r="L42" s="3"/>
    </row>
    <row r="43" spans="1:12" x14ac:dyDescent="0.3">
      <c r="H43"/>
      <c r="I43"/>
      <c r="J43" s="3"/>
      <c r="K43" s="3"/>
      <c r="L43" s="3"/>
    </row>
    <row r="44" spans="1:12" x14ac:dyDescent="0.3">
      <c r="H44"/>
      <c r="I44"/>
      <c r="J44" s="3"/>
      <c r="K44" s="3"/>
      <c r="L44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0308-DB12-4E9F-A072-48453129D3FA}">
  <sheetPr codeName="Sheet19">
    <tabColor rgb="FF960096"/>
  </sheetPr>
  <dimension ref="A1:AG56"/>
  <sheetViews>
    <sheetView topLeftCell="F1" workbookViewId="0">
      <selection activeCell="H13" sqref="H13"/>
    </sheetView>
  </sheetViews>
  <sheetFormatPr defaultRowHeight="14.4" x14ac:dyDescent="0.3"/>
  <cols>
    <col min="1" max="1" width="33.109375" bestFit="1" customWidth="1"/>
    <col min="2" max="2" width="18.55468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8.55468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4.6640625" bestFit="1" customWidth="1"/>
    <col min="17" max="17" width="9" bestFit="1" customWidth="1"/>
    <col min="21" max="21" width="11.44140625" customWidth="1"/>
    <col min="23" max="23" width="18.10937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45" t="s">
        <v>107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Bojanala B</v>
      </c>
      <c r="X3" s="2" cm="1">
        <f t="array" ref="X3">SUM(($A$17:$A$625=W3)*(ISNUMBER($C$17:$C$625)),($B$17:$B$625=W3)*(ISNUMBER($E$17:$E$625)))</f>
        <v>7</v>
      </c>
      <c r="Y3" s="3" cm="1">
        <f t="array" ref="Y3">SUMPRODUCT(($A$17:$A$625=W3)*($C$17:$C$625&gt;$E$17:$E$625)) +
 SUMPRODUCT(($B$17:$B$625=W3)*($E$17:$E$625&gt;$C$17:$C$625))</f>
        <v>6</v>
      </c>
      <c r="Z3" s="3" cm="1">
        <f t="array" ref="Z3">SUM(($A$17:$A$625=W3)*($C$17:$C$625=$E$17:$E$625)*ISNUMBER($E$17:$E$625),($B$17:$B$625=W3)*($E$17:$E$625=$C$17:$C$625)*ISNUMBER($C$17:$C$625))</f>
        <v>0</v>
      </c>
      <c r="AA3" s="3" cm="1">
        <f t="array" ref="AA3">SUM(($A$17:$A$625=W3)*($C$17:$C$625&lt;$E$17:$E$625),($B$17:$B$625=W3)*($E$17:$E$625&lt;$C$17:$C$625))</f>
        <v>1</v>
      </c>
      <c r="AB3" s="4">
        <f t="shared" ref="AB3:AB10" si="0">SUMIF($A$17:$A$625,W3,$C$17:$C$625)+SUMIF($B$17:$B$625,W3,$E$17:$E$625)</f>
        <v>319</v>
      </c>
      <c r="AC3" s="5">
        <f t="shared" ref="AC3:AC10" si="1">SUMIF($A$17:$A$625,W3,$E$17:$E$625)+SUMIF($B$17:$B$625,W3,$C$17:$C$625)</f>
        <v>226</v>
      </c>
      <c r="AD3" s="3">
        <f>AB3-AC3</f>
        <v>93</v>
      </c>
      <c r="AE3" s="4">
        <f>Y3*Points!$B$2+Z3*Points!$B$3</f>
        <v>12</v>
      </c>
      <c r="AF3">
        <f>AB3+AD3*10000+AE3*100000000</f>
        <v>1200930319</v>
      </c>
      <c r="AG3">
        <f>AB3/AC3/X3</f>
        <v>0.20164348925410874</v>
      </c>
    </row>
    <row r="4" spans="1:33" ht="28.8" x14ac:dyDescent="0.55000000000000004">
      <c r="A4" s="6" t="s">
        <v>68</v>
      </c>
      <c r="H4" s="103" t="s">
        <v>107</v>
      </c>
      <c r="I4" s="104"/>
      <c r="J4" s="104"/>
      <c r="K4" s="104"/>
      <c r="L4" s="104"/>
      <c r="M4" s="104"/>
      <c r="N4" s="104"/>
      <c r="O4" s="104"/>
      <c r="P4" s="104"/>
      <c r="Q4" s="104"/>
      <c r="W4" s="1" t="str">
        <f>A5</f>
        <v>West Coast</v>
      </c>
      <c r="X4" s="2" cm="1">
        <f t="array" ref="X4">SUM(($A$17:$A$625=W4)*(ISNUMBER($C$17:$C$625)),($B$17:$B$625=W4)*(ISNUMBER($E$17:$E$625)))</f>
        <v>7</v>
      </c>
      <c r="Y4" s="3" cm="1">
        <f t="array" ref="Y4">SUMPRODUCT(($A$17:$A$625=W4)*($C$17:$C$625&gt;$E$17:$E$625)) +
 SUMPRODUCT(($B$17:$B$625=W4)*($E$17:$E$625&gt;$C$17:$C$625))</f>
        <v>7</v>
      </c>
      <c r="Z4" s="3" cm="1">
        <f t="array" ref="Z4">SUM(($A$17:$A$625=W4)*($C$17:$C$625=$E$17:$E$625)*ISNUMBER($E$17:$E$625),($B$17:$B$625=W4)*($E$17:$E$625=$C$17:$C$625)*ISNUMBER($C$17:$C$625))</f>
        <v>0</v>
      </c>
      <c r="AA4" s="3" cm="1">
        <f t="array" ref="AA4">SUM(($A$17:$A$625=W4)*($C$17:$C$625&lt;$E$17:$E$625),($B$17:$B$625=W4)*($E$17:$E$625&lt;$C$17:$C$625))</f>
        <v>0</v>
      </c>
      <c r="AB4" s="4">
        <f t="shared" si="0"/>
        <v>325</v>
      </c>
      <c r="AC4" s="5">
        <f t="shared" si="1"/>
        <v>210</v>
      </c>
      <c r="AD4" s="3">
        <f t="shared" ref="AD4" si="2">AB4-AC4</f>
        <v>115</v>
      </c>
      <c r="AE4" s="4">
        <f>Y4*Points!$B$2+Z4*Points!$B$3</f>
        <v>14</v>
      </c>
      <c r="AF4">
        <f t="shared" ref="AF4" si="3">AB4+AD4*10000+AE4*100000000</f>
        <v>1401150325</v>
      </c>
      <c r="AG4">
        <f t="shared" ref="AG4:AG10" si="4">AB4/AC4/X4</f>
        <v>0.22108843537414966</v>
      </c>
    </row>
    <row r="5" spans="1:33" x14ac:dyDescent="0.3">
      <c r="A5" s="6" t="s">
        <v>69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Gert Sibande</v>
      </c>
      <c r="X5" s="2" cm="1">
        <f t="array" ref="X5">SUM(($A$17:$A$625=W5)*(ISNUMBER($C$17:$C$625)),($B$17:$B$625=W5)*(ISNUMBER($E$17:$E$625)))</f>
        <v>7</v>
      </c>
      <c r="Y5" s="3" cm="1">
        <f t="array" ref="Y5">SUMPRODUCT(($A$17:$A$625=W5)*($C$17:$C$625&gt;$E$17:$E$625)) +
 SUMPRODUCT(($B$17:$B$625=W5)*($E$17:$E$625&gt;$C$17:$C$625))</f>
        <v>1</v>
      </c>
      <c r="Z5" s="3" cm="1">
        <f t="array" ref="Z5">SUM(($A$17:$A$625=W5)*($C$17:$C$625=$E$17:$E$625)*ISNUMBER($E$17:$E$625),($B$17:$B$625=W5)*($E$17:$E$625=$C$17:$C$625)*ISNUMBER($C$17:$C$625))</f>
        <v>0</v>
      </c>
      <c r="AA5" s="3" cm="1">
        <f t="array" ref="AA5">SUM(($A$17:$A$625=W5)*($C$17:$C$625&lt;$E$17:$E$625),($B$17:$B$625=W5)*($E$17:$E$625&lt;$C$17:$C$625))</f>
        <v>6</v>
      </c>
      <c r="AB5" s="4">
        <f t="shared" si="0"/>
        <v>195</v>
      </c>
      <c r="AC5" s="5">
        <f t="shared" si="1"/>
        <v>249</v>
      </c>
      <c r="AD5" s="3">
        <f>AB5-AC5</f>
        <v>-54</v>
      </c>
      <c r="AE5" s="4">
        <f>Y5*Points!$B$2+Z5*Points!$B$3</f>
        <v>2</v>
      </c>
      <c r="AF5">
        <f>AB5+AD5*10000+AE5*100000000</f>
        <v>199460195</v>
      </c>
      <c r="AG5">
        <f t="shared" si="4"/>
        <v>0.11187607573149741</v>
      </c>
    </row>
    <row r="6" spans="1:33" x14ac:dyDescent="0.3">
      <c r="A6" s="6" t="s">
        <v>19</v>
      </c>
      <c r="H6" s="6" t="str" cm="1">
        <f t="array" ref="H6">INDEX($W$3:$W$10,MATCH(LARGE($AF$3:$AF$10-ROW($AF$3:$AF$10)/COUNT($AF$3:$AF$10),ROW(H6)-ROW(H$6)+1),$AF$3:$AF$10-ROW($AF$3:$AF$10)/COUNT($AF$3:$AF$10),0))</f>
        <v>West Coast</v>
      </c>
      <c r="I6" s="7">
        <f>VLOOKUP($H6,$W$3:$AE$10,2,0)</f>
        <v>7</v>
      </c>
      <c r="J6" s="7">
        <f>VLOOKUP($H6,$W$3:$AE$10,3,0)</f>
        <v>7</v>
      </c>
      <c r="K6" s="7">
        <f>VLOOKUP($H6,$W$3:$AE$10,5,0)</f>
        <v>0</v>
      </c>
      <c r="L6" s="7">
        <f>VLOOKUP($H6,$W$3:$AE$10,4,0)</f>
        <v>0</v>
      </c>
      <c r="M6" s="7">
        <f>VLOOKUP($H6,$W$3:$AE$10,9,0)</f>
        <v>14</v>
      </c>
      <c r="N6" s="7">
        <f>VLOOKUP($H6,$W$3:$AE$10,6,0)</f>
        <v>325</v>
      </c>
      <c r="O6" s="7">
        <f>VLOOKUP($H6,$W$3:$AE$10,7,0)</f>
        <v>210</v>
      </c>
      <c r="P6" s="7">
        <f>VLOOKUP($H6,$W$3:$AE$10,8,0)</f>
        <v>115</v>
      </c>
      <c r="Q6" s="59">
        <f>VLOOKUP($H6,$W$3:$AG$10,11,0)</f>
        <v>0.22108843537414966</v>
      </c>
      <c r="W6" s="1" t="str">
        <f t="shared" ref="W6:W8" si="5">A7</f>
        <v>Thabo Mofutsanyane</v>
      </c>
      <c r="X6" s="2" cm="1">
        <f t="array" ref="X6">SUM(($A$17:$A$625=W6)*(ISNUMBER($C$17:$C$625)),($B$17:$B$625=W6)*(ISNUMBER($E$17:$E$625)))</f>
        <v>6</v>
      </c>
      <c r="Y6" s="3" cm="1">
        <f t="array" ref="Y6">SUMPRODUCT(($A$17:$A$625=W6)*($C$17:$C$625&gt;$E$17:$E$625)) +
 SUMPRODUCT(($B$17:$B$625=W6)*($E$17:$E$625&gt;$C$17:$C$625))</f>
        <v>1</v>
      </c>
      <c r="Z6" s="3" cm="1">
        <f t="array" ref="Z6">SUM(($A$17:$A$625=W6)*($C$17:$C$625=$E$17:$E$625)*ISNUMBER($E$17:$E$625),($B$17:$B$625=W6)*($E$17:$E$625=$C$17:$C$625)*ISNUMBER($C$17:$C$625))</f>
        <v>0</v>
      </c>
      <c r="AA6" s="3" cm="1">
        <f t="array" ref="AA6">SUM(($A$17:$A$625=W6)*($C$17:$C$625&lt;$E$17:$E$625),($B$17:$B$625=W6)*($E$17:$E$625&lt;$C$17:$C$625)) + 1</f>
        <v>6</v>
      </c>
      <c r="AB6" s="4">
        <f t="shared" si="0"/>
        <v>196</v>
      </c>
      <c r="AC6" s="5">
        <f t="shared" si="1"/>
        <v>258</v>
      </c>
      <c r="AD6" s="3">
        <f t="shared" ref="AD6:AD8" si="6">AB6-AC6</f>
        <v>-62</v>
      </c>
      <c r="AE6" s="4">
        <f>Y6*Points!$B$2+Z6*Points!$B$3</f>
        <v>2</v>
      </c>
      <c r="AF6">
        <f t="shared" ref="AF6:AF8" si="7">AB6+AD6*10000+AE6*100000000</f>
        <v>199380196</v>
      </c>
      <c r="AG6">
        <f t="shared" si="4"/>
        <v>0.12661498708010335</v>
      </c>
    </row>
    <row r="7" spans="1:33" x14ac:dyDescent="0.3">
      <c r="A7" s="25" t="s">
        <v>67</v>
      </c>
      <c r="H7" s="6" t="str" cm="1">
        <f t="array" ref="H7">INDEX($W$3:$W$10,MATCH(LARGE($AF$3:$AF$10-ROW($AF$3:$AF$10)/COUNT($AF$3:$AF$10),ROW(H7)-ROW(H$6)+1),$AF$3:$AF$10-ROW($AF$3:$AF$10)/COUNT($AF$3:$AF$10),0))</f>
        <v>Bojanala B</v>
      </c>
      <c r="I7" s="7">
        <f t="shared" ref="I7:I13" si="8">VLOOKUP($H7,$W$3:$AE$10,2,0)</f>
        <v>7</v>
      </c>
      <c r="J7" s="7">
        <f t="shared" ref="J7:J13" si="9">VLOOKUP($H7,$W$3:$AE$10,3,0)</f>
        <v>6</v>
      </c>
      <c r="K7" s="7">
        <f t="shared" ref="K7:K13" si="10">VLOOKUP($H7,$W$3:$AE$10,5,0)</f>
        <v>1</v>
      </c>
      <c r="L7" s="7">
        <f t="shared" ref="L7:L13" si="11">VLOOKUP($H7,$W$3:$AE$10,4,0)</f>
        <v>0</v>
      </c>
      <c r="M7" s="7">
        <f t="shared" ref="M7:M13" si="12">VLOOKUP($H7,$W$3:$AE$10,9,0)</f>
        <v>12</v>
      </c>
      <c r="N7" s="7">
        <f t="shared" ref="N7:N13" si="13">VLOOKUP($H7,$W$3:$AE$10,6,0)</f>
        <v>319</v>
      </c>
      <c r="O7" s="7">
        <f t="shared" ref="O7:O13" si="14">VLOOKUP($H7,$W$3:$AE$10,7,0)</f>
        <v>226</v>
      </c>
      <c r="P7" s="7">
        <f t="shared" ref="P7:P13" si="15">VLOOKUP($H7,$W$3:$AE$10,8,0)</f>
        <v>93</v>
      </c>
      <c r="Q7" s="59">
        <f t="shared" ref="Q7:Q13" si="16">VLOOKUP($H7,$W$3:$AG$10,11,0)</f>
        <v>0.20164348925410874</v>
      </c>
      <c r="W7" s="1" t="str">
        <f t="shared" si="5"/>
        <v>Sarah Baartman</v>
      </c>
      <c r="X7" s="2" cm="1">
        <f t="array" ref="X7">SUM(($A$17:$A$625=W7)*(ISNUMBER($C$17:$C$625)),($B$17:$B$625=W7)*(ISNUMBER($E$17:$E$625)))</f>
        <v>7</v>
      </c>
      <c r="Y7" s="3" cm="1">
        <f t="array" ref="Y7">SUMPRODUCT(($A$17:$A$625=W7)*($C$17:$C$625&gt;$E$17:$E$625)) +
 SUMPRODUCT(($B$17:$B$625=W7)*($E$17:$E$625&gt;$C$17:$C$625))</f>
        <v>4</v>
      </c>
      <c r="Z7" s="3" cm="1">
        <f t="array" ref="Z7">SUM(($A$17:$A$625=W7)*($C$17:$C$625=$E$17:$E$625)*ISNUMBER($E$17:$E$625),($B$17:$B$625=W7)*($E$17:$E$625=$C$17:$C$625)*ISNUMBER($C$17:$C$625))</f>
        <v>0</v>
      </c>
      <c r="AA7" s="3" cm="1">
        <f t="array" ref="AA7">SUM(($A$17:$A$625=W7)*($C$17:$C$625&lt;$E$17:$E$625),($B$17:$B$625=W7)*($E$17:$E$625&lt;$C$17:$C$625))</f>
        <v>3</v>
      </c>
      <c r="AB7" s="4">
        <f t="shared" si="0"/>
        <v>263</v>
      </c>
      <c r="AC7" s="5">
        <f t="shared" si="1"/>
        <v>257</v>
      </c>
      <c r="AD7" s="3">
        <f t="shared" si="6"/>
        <v>6</v>
      </c>
      <c r="AE7" s="4">
        <f>Y7*Points!$B$2+Z7*Points!$B$3</f>
        <v>8</v>
      </c>
      <c r="AF7">
        <f t="shared" si="7"/>
        <v>800060263</v>
      </c>
      <c r="AG7">
        <f t="shared" si="4"/>
        <v>0.14619232907170648</v>
      </c>
    </row>
    <row r="8" spans="1:33" x14ac:dyDescent="0.3">
      <c r="A8" s="6" t="s">
        <v>65</v>
      </c>
      <c r="H8" s="6" t="str" cm="1">
        <f t="array" ref="H8">INDEX($W$3:$W$10,MATCH(LARGE($AF$3:$AF$10-ROW($AF$3:$AF$10)/COUNT($AF$3:$AF$10),ROW(H8)-ROW(H$6)+1),$AF$3:$AF$10-ROW($AF$3:$AF$10)/COUNT($AF$3:$AF$10),0))</f>
        <v>SAPS A</v>
      </c>
      <c r="I8" s="7">
        <f t="shared" si="8"/>
        <v>7</v>
      </c>
      <c r="J8" s="7">
        <f t="shared" si="9"/>
        <v>5</v>
      </c>
      <c r="K8" s="7">
        <f t="shared" si="10"/>
        <v>2</v>
      </c>
      <c r="L8" s="7">
        <f t="shared" si="11"/>
        <v>0</v>
      </c>
      <c r="M8" s="7">
        <f t="shared" si="12"/>
        <v>10</v>
      </c>
      <c r="N8" s="7">
        <f t="shared" si="13"/>
        <v>278</v>
      </c>
      <c r="O8" s="7">
        <f t="shared" si="14"/>
        <v>244</v>
      </c>
      <c r="P8" s="7">
        <f t="shared" si="15"/>
        <v>34</v>
      </c>
      <c r="Q8" s="59">
        <f t="shared" si="16"/>
        <v>0.16276346604215458</v>
      </c>
      <c r="W8" s="1" t="str">
        <f t="shared" si="5"/>
        <v>Fezile Dabi</v>
      </c>
      <c r="X8" s="2" cm="1">
        <f t="array" ref="X8">SUM(($A$17:$A$625=W8)*(ISNUMBER($C$17:$C$625)),($B$17:$B$625=W8)*(ISNUMBER($E$17:$E$625)))</f>
        <v>6</v>
      </c>
      <c r="Y8" s="3" cm="1">
        <f t="array" ref="Y8">SUMPRODUCT(($A$17:$A$625=W8)*($C$17:$C$625&gt;$E$17:$E$625)) +
 SUMPRODUCT(($B$17:$B$625=W8)*($E$17:$E$625&gt;$C$17:$C$625)) + 1</f>
        <v>2</v>
      </c>
      <c r="Z8" s="3" cm="1">
        <f t="array" ref="Z8">SUM(($A$17:$A$625=W8)*($C$17:$C$625=$E$17:$E$625)*ISNUMBER($E$17:$E$625),($B$17:$B$625=W8)*($E$17:$E$625=$C$17:$C$625)*ISNUMBER($C$17:$C$625))</f>
        <v>0</v>
      </c>
      <c r="AA8" s="3" cm="1">
        <f t="array" ref="AA8">SUM(($A$17:$A$625=W8)*($C$17:$C$625&lt;$E$17:$E$625),($B$17:$B$625=W8)*($E$17:$E$625&lt;$C$17:$C$625))</f>
        <v>5</v>
      </c>
      <c r="AB8" s="4">
        <f t="shared" si="0"/>
        <v>174</v>
      </c>
      <c r="AC8" s="5">
        <f t="shared" si="1"/>
        <v>275</v>
      </c>
      <c r="AD8" s="3">
        <f t="shared" si="6"/>
        <v>-101</v>
      </c>
      <c r="AE8" s="4">
        <f>Y8*Points!$B$2+Z8*Points!$B$3</f>
        <v>4</v>
      </c>
      <c r="AF8">
        <f t="shared" si="7"/>
        <v>398990174</v>
      </c>
      <c r="AG8">
        <f t="shared" si="4"/>
        <v>0.10545454545454545</v>
      </c>
    </row>
    <row r="9" spans="1:33" x14ac:dyDescent="0.3">
      <c r="A9" s="6" t="s">
        <v>33</v>
      </c>
      <c r="H9" s="6" t="str" cm="1">
        <f t="array" ref="H9">INDEX($W$3:$W$10,MATCH(LARGE($AF$3:$AF$10-ROW($AF$3:$AF$10)/COUNT($AF$3:$AF$10),ROW(H9)-ROW(H$6)+1),$AF$3:$AF$10-ROW($AF$3:$AF$10)/COUNT($AF$3:$AF$10),0))</f>
        <v>Sarah Baartman</v>
      </c>
      <c r="I9" s="7">
        <f t="shared" si="8"/>
        <v>7</v>
      </c>
      <c r="J9" s="7">
        <f t="shared" si="9"/>
        <v>4</v>
      </c>
      <c r="K9" s="7">
        <f t="shared" si="10"/>
        <v>3</v>
      </c>
      <c r="L9" s="7">
        <f t="shared" si="11"/>
        <v>0</v>
      </c>
      <c r="M9" s="7">
        <f t="shared" si="12"/>
        <v>8</v>
      </c>
      <c r="N9" s="7">
        <f t="shared" si="13"/>
        <v>263</v>
      </c>
      <c r="O9" s="7">
        <f t="shared" si="14"/>
        <v>257</v>
      </c>
      <c r="P9" s="7">
        <f t="shared" si="15"/>
        <v>6</v>
      </c>
      <c r="Q9" s="59">
        <f t="shared" si="16"/>
        <v>0.14619232907170648</v>
      </c>
      <c r="W9" s="1" t="str">
        <f t="shared" ref="W9:W10" si="17">A10</f>
        <v>SAPS A</v>
      </c>
      <c r="X9" s="2" cm="1">
        <f t="array" ref="X9">SUM(($A$17:$A$625=W9)*(ISNUMBER($C$17:$C$625)),($B$17:$B$625=W9)*(ISNUMBER($E$17:$E$625)))</f>
        <v>7</v>
      </c>
      <c r="Y9" s="3" cm="1">
        <f t="array" ref="Y9">SUMPRODUCT(($A$17:$A$625=W9)*($C$17:$C$625&gt;$E$17:$E$625)) +
 SUMPRODUCT(($B$17:$B$625=W9)*($E$17:$E$625&gt;$C$17:$C$625))</f>
        <v>5</v>
      </c>
      <c r="Z9" s="3" cm="1">
        <f t="array" ref="Z9">SUM(($A$17:$A$625=W9)*($C$17:$C$625=$E$17:$E$625)*ISNUMBER($E$17:$E$625),($B$17:$B$625=W9)*($E$17:$E$625=$C$17:$C$625)*ISNUMBER($C$17:$C$625))</f>
        <v>0</v>
      </c>
      <c r="AA9" s="3" cm="1">
        <f t="array" ref="AA9">SUM(($A$17:$A$625=W9)*($C$17:$C$625&lt;$E$17:$E$625),($B$17:$B$625=W9)*($E$17:$E$625&lt;$C$17:$C$625))</f>
        <v>2</v>
      </c>
      <c r="AB9" s="4">
        <f t="shared" si="0"/>
        <v>278</v>
      </c>
      <c r="AC9" s="5">
        <f t="shared" si="1"/>
        <v>244</v>
      </c>
      <c r="AD9" s="3">
        <f t="shared" ref="AD9:AD10" si="18">AB9-AC9</f>
        <v>34</v>
      </c>
      <c r="AE9" s="4">
        <f>Y9*Points!$B$2+Z9*Points!$B$3</f>
        <v>10</v>
      </c>
      <c r="AF9">
        <f t="shared" ref="AF9:AF10" si="19">AB9+AD9*10000+AE9*100000000</f>
        <v>1000340278</v>
      </c>
      <c r="AG9">
        <f t="shared" si="4"/>
        <v>0.16276346604215458</v>
      </c>
    </row>
    <row r="10" spans="1:33" x14ac:dyDescent="0.3">
      <c r="A10" s="6" t="s">
        <v>109</v>
      </c>
      <c r="H10" s="6" t="str" cm="1">
        <f t="array" ref="H10">INDEX($W$3:$W$10,MATCH(LARGE($AF$3:$AF$10-ROW($AF$3:$AF$10)/COUNT($AF$3:$AF$10),ROW(H10)-ROW(H$6)+1),$AF$3:$AF$10-ROW($AF$3:$AF$10)/COUNT($AF$3:$AF$10),0))</f>
        <v>SANDF A</v>
      </c>
      <c r="I10" s="7">
        <f t="shared" si="8"/>
        <v>7</v>
      </c>
      <c r="J10" s="7">
        <f t="shared" si="9"/>
        <v>2</v>
      </c>
      <c r="K10" s="7">
        <f t="shared" si="10"/>
        <v>5</v>
      </c>
      <c r="L10" s="7">
        <f t="shared" si="11"/>
        <v>0</v>
      </c>
      <c r="M10" s="7">
        <f t="shared" si="12"/>
        <v>4</v>
      </c>
      <c r="N10" s="7">
        <f t="shared" si="13"/>
        <v>213</v>
      </c>
      <c r="O10" s="7">
        <f t="shared" si="14"/>
        <v>244</v>
      </c>
      <c r="P10" s="7">
        <f t="shared" si="15"/>
        <v>-31</v>
      </c>
      <c r="Q10" s="59">
        <f t="shared" si="16"/>
        <v>0.12470725995316159</v>
      </c>
      <c r="W10" s="1" t="str">
        <f t="shared" si="17"/>
        <v>SANDF A</v>
      </c>
      <c r="X10" s="2" cm="1">
        <f t="array" ref="X10">SUM(($A$17:$A$625=W10)*(ISNUMBER($C$17:$C$625)),($B$17:$B$625=W10)*(ISNUMBER($E$17:$E$625)))</f>
        <v>7</v>
      </c>
      <c r="Y10" s="3" cm="1">
        <f t="array" ref="Y10">SUMPRODUCT(($A$17:$A$625=W10)*($C$17:$C$625&gt;$E$17:$E$625)) +
 SUMPRODUCT(($B$17:$B$625=W10)*($E$17:$E$625&gt;$C$17:$C$625))</f>
        <v>2</v>
      </c>
      <c r="Z10" s="3" cm="1">
        <f t="array" ref="Z10">SUM(($A$17:$A$625=W10)*($C$17:$C$625=$E$17:$E$625)*ISNUMBER($E$17:$E$625),($B$17:$B$625=W10)*($E$17:$E$625=$C$17:$C$625)*ISNUMBER($C$17:$C$625))</f>
        <v>0</v>
      </c>
      <c r="AA10" s="3" cm="1">
        <f t="array" ref="AA10">SUM(($A$17:$A$625=W10)*($C$17:$C$625&lt;$E$17:$E$625),($B$17:$B$625=W10)*($E$17:$E$625&lt;$C$17:$C$625))</f>
        <v>5</v>
      </c>
      <c r="AB10" s="4">
        <f t="shared" si="0"/>
        <v>213</v>
      </c>
      <c r="AC10" s="5">
        <f t="shared" si="1"/>
        <v>244</v>
      </c>
      <c r="AD10" s="3">
        <f t="shared" si="18"/>
        <v>-31</v>
      </c>
      <c r="AE10" s="4">
        <f>Y10*Points!$B$2+Z10*Points!$B$3</f>
        <v>4</v>
      </c>
      <c r="AF10">
        <f t="shared" si="19"/>
        <v>399690213</v>
      </c>
      <c r="AG10">
        <f t="shared" si="4"/>
        <v>0.12470725995316159</v>
      </c>
    </row>
    <row r="11" spans="1:33" x14ac:dyDescent="0.3">
      <c r="A11" s="6" t="s">
        <v>63</v>
      </c>
      <c r="H11" s="6" t="str" cm="1">
        <f t="array" ref="H11">INDEX($W$3:$W$10,MATCH(LARGE($AF$3:$AF$10-ROW($AF$3:$AF$10)/COUNT($AF$3:$AF$10),ROW(H11)-ROW(H$6)+1),$AF$3:$AF$10-ROW($AF$3:$AF$10)/COUNT($AF$3:$AF$10),0))</f>
        <v>Fezile Dabi</v>
      </c>
      <c r="I11" s="7">
        <f t="shared" si="8"/>
        <v>6</v>
      </c>
      <c r="J11" s="7">
        <f t="shared" si="9"/>
        <v>2</v>
      </c>
      <c r="K11" s="7">
        <f t="shared" si="10"/>
        <v>5</v>
      </c>
      <c r="L11" s="7">
        <f t="shared" si="11"/>
        <v>0</v>
      </c>
      <c r="M11" s="7">
        <f t="shared" si="12"/>
        <v>4</v>
      </c>
      <c r="N11" s="7">
        <f t="shared" si="13"/>
        <v>174</v>
      </c>
      <c r="O11" s="7">
        <f t="shared" si="14"/>
        <v>275</v>
      </c>
      <c r="P11" s="7">
        <f t="shared" si="15"/>
        <v>-101</v>
      </c>
      <c r="Q11" s="59">
        <f t="shared" si="16"/>
        <v>0.10545454545454545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 s="6" t="str" cm="1">
        <f t="array" ref="H12">INDEX($W$3:$W$10,MATCH(LARGE($AF$3:$AF$10-ROW($AF$3:$AF$10)/COUNT($AF$3:$AF$10),ROW(H12)-ROW(H$6)+1),$AF$3:$AF$10-ROW($AF$3:$AF$10)/COUNT($AF$3:$AF$10),0))</f>
        <v>Gert Sibande</v>
      </c>
      <c r="I12" s="7">
        <f t="shared" si="8"/>
        <v>7</v>
      </c>
      <c r="J12" s="7">
        <f t="shared" si="9"/>
        <v>1</v>
      </c>
      <c r="K12" s="7">
        <f t="shared" si="10"/>
        <v>6</v>
      </c>
      <c r="L12" s="7">
        <f t="shared" si="11"/>
        <v>0</v>
      </c>
      <c r="M12" s="7">
        <f t="shared" si="12"/>
        <v>2</v>
      </c>
      <c r="N12" s="7">
        <f t="shared" si="13"/>
        <v>195</v>
      </c>
      <c r="O12" s="7">
        <f t="shared" si="14"/>
        <v>249</v>
      </c>
      <c r="P12" s="7">
        <f t="shared" si="15"/>
        <v>-54</v>
      </c>
      <c r="Q12" s="59">
        <f t="shared" si="16"/>
        <v>0.11187607573149741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 s="6" t="str" cm="1">
        <f t="array" ref="H13">INDEX($W$3:$W$10,MATCH(LARGE($AF$3:$AF$10-ROW($AF$3:$AF$10)/COUNT($AF$3:$AF$10),ROW(H13)-ROW(H$6)+1),$AF$3:$AF$10-ROW($AF$3:$AF$10)/COUNT($AF$3:$AF$10),0))</f>
        <v>Thabo Mofutsanyane</v>
      </c>
      <c r="I13" s="7">
        <f t="shared" si="8"/>
        <v>6</v>
      </c>
      <c r="J13" s="7">
        <f t="shared" si="9"/>
        <v>1</v>
      </c>
      <c r="K13" s="7">
        <f t="shared" si="10"/>
        <v>6</v>
      </c>
      <c r="L13" s="7">
        <f t="shared" si="11"/>
        <v>0</v>
      </c>
      <c r="M13" s="7">
        <f t="shared" si="12"/>
        <v>2</v>
      </c>
      <c r="N13" s="7">
        <f t="shared" si="13"/>
        <v>196</v>
      </c>
      <c r="O13" s="7">
        <f t="shared" si="14"/>
        <v>258</v>
      </c>
      <c r="P13" s="7">
        <f t="shared" si="15"/>
        <v>-62</v>
      </c>
      <c r="Q13" s="59">
        <f t="shared" si="16"/>
        <v>0.12661498708010335</v>
      </c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2" x14ac:dyDescent="0.3">
      <c r="A17" s="21" t="s">
        <v>68</v>
      </c>
      <c r="B17" s="22" t="s">
        <v>63</v>
      </c>
      <c r="C17" s="23">
        <v>38</v>
      </c>
      <c r="D17" s="23" t="s">
        <v>16</v>
      </c>
      <c r="E17" s="24">
        <v>31</v>
      </c>
      <c r="F17" s="3"/>
      <c r="H17"/>
      <c r="I17"/>
      <c r="J17" s="3"/>
      <c r="K17" s="3"/>
      <c r="L17" s="3"/>
    </row>
    <row r="18" spans="1:12" x14ac:dyDescent="0.3">
      <c r="A18" s="25" t="s">
        <v>69</v>
      </c>
      <c r="B18" s="6" t="s">
        <v>109</v>
      </c>
      <c r="C18" s="7">
        <v>37</v>
      </c>
      <c r="D18" s="7" t="s">
        <v>16</v>
      </c>
      <c r="E18" s="26">
        <v>29</v>
      </c>
      <c r="F18" s="3"/>
      <c r="H18"/>
      <c r="I18"/>
      <c r="J18" s="3"/>
      <c r="K18" s="3"/>
      <c r="L18" s="3"/>
    </row>
    <row r="19" spans="1:12" x14ac:dyDescent="0.3">
      <c r="A19" s="25" t="s">
        <v>19</v>
      </c>
      <c r="B19" s="6" t="s">
        <v>33</v>
      </c>
      <c r="C19" s="7">
        <v>45</v>
      </c>
      <c r="D19" s="7" t="s">
        <v>16</v>
      </c>
      <c r="E19" s="26">
        <v>34</v>
      </c>
      <c r="F19" s="3"/>
    </row>
    <row r="20" spans="1:12" ht="15" thickBot="1" x14ac:dyDescent="0.35">
      <c r="A20" s="27" t="s">
        <v>65</v>
      </c>
      <c r="B20" s="27" t="s">
        <v>67</v>
      </c>
      <c r="C20" s="29">
        <v>47</v>
      </c>
      <c r="D20" s="29" t="s">
        <v>16</v>
      </c>
      <c r="E20" s="30">
        <v>34</v>
      </c>
      <c r="F20" s="3"/>
      <c r="H20"/>
      <c r="I20"/>
    </row>
    <row r="21" spans="1:12" x14ac:dyDescent="0.3">
      <c r="F21" s="3"/>
      <c r="H21"/>
      <c r="I21"/>
    </row>
    <row r="22" spans="1:12" x14ac:dyDescent="0.3">
      <c r="F22" s="3"/>
      <c r="H22"/>
      <c r="I22"/>
    </row>
    <row r="23" spans="1:12" ht="15" thickBot="1" x14ac:dyDescent="0.35">
      <c r="A23" s="20" t="s">
        <v>104</v>
      </c>
      <c r="F23" s="3"/>
      <c r="H23"/>
      <c r="I23"/>
    </row>
    <row r="24" spans="1:12" x14ac:dyDescent="0.3">
      <c r="A24" s="21" t="s">
        <v>69</v>
      </c>
      <c r="B24" s="22" t="s">
        <v>19</v>
      </c>
      <c r="C24" s="23">
        <v>45</v>
      </c>
      <c r="D24" s="23" t="str">
        <f>D17</f>
        <v>:</v>
      </c>
      <c r="E24" s="24">
        <v>33</v>
      </c>
      <c r="H24"/>
      <c r="I24"/>
      <c r="J24" s="3"/>
      <c r="K24" s="3"/>
      <c r="L24" s="3"/>
    </row>
    <row r="25" spans="1:12" x14ac:dyDescent="0.3">
      <c r="A25" s="25" t="s">
        <v>67</v>
      </c>
      <c r="B25" s="6" t="s">
        <v>63</v>
      </c>
      <c r="C25" s="7">
        <v>39</v>
      </c>
      <c r="D25" s="7" t="str">
        <f>D18</f>
        <v>:</v>
      </c>
      <c r="E25" s="26">
        <v>44</v>
      </c>
      <c r="H25"/>
      <c r="I25"/>
      <c r="J25" s="3"/>
      <c r="K25" s="3"/>
      <c r="L25" s="3"/>
    </row>
    <row r="26" spans="1:12" x14ac:dyDescent="0.3">
      <c r="A26" s="25" t="s">
        <v>68</v>
      </c>
      <c r="B26" s="6" t="s">
        <v>33</v>
      </c>
      <c r="C26" s="7">
        <v>58</v>
      </c>
      <c r="D26" s="7" t="str">
        <f>D19</f>
        <v>:</v>
      </c>
      <c r="E26" s="26">
        <v>25</v>
      </c>
    </row>
    <row r="27" spans="1:12" x14ac:dyDescent="0.3">
      <c r="A27" s="25" t="s">
        <v>109</v>
      </c>
      <c r="B27" s="6" t="s">
        <v>65</v>
      </c>
      <c r="C27" s="7">
        <v>48</v>
      </c>
      <c r="D27" s="7" t="str">
        <f>D20</f>
        <v>:</v>
      </c>
      <c r="E27" s="26">
        <v>42</v>
      </c>
    </row>
    <row r="28" spans="1:12" x14ac:dyDescent="0.3">
      <c r="A28" s="25" t="s">
        <v>33</v>
      </c>
      <c r="B28" s="6" t="s">
        <v>109</v>
      </c>
      <c r="C28" s="7">
        <v>26</v>
      </c>
      <c r="D28" s="7" t="s">
        <v>16</v>
      </c>
      <c r="E28" s="26">
        <v>47</v>
      </c>
    </row>
    <row r="29" spans="1:12" ht="15" thickBot="1" x14ac:dyDescent="0.35">
      <c r="A29" s="27" t="s">
        <v>63</v>
      </c>
      <c r="B29" s="28" t="s">
        <v>19</v>
      </c>
      <c r="C29" s="29">
        <v>37</v>
      </c>
      <c r="D29" s="29" t="s">
        <v>16</v>
      </c>
      <c r="E29" s="30">
        <v>26</v>
      </c>
    </row>
    <row r="32" spans="1:12" ht="15" thickBot="1" x14ac:dyDescent="0.35">
      <c r="A32" s="20" t="s">
        <v>141</v>
      </c>
    </row>
    <row r="33" spans="1:12" x14ac:dyDescent="0.3">
      <c r="A33" s="21" t="s">
        <v>109</v>
      </c>
      <c r="B33" s="22" t="s">
        <v>68</v>
      </c>
      <c r="C33" s="23">
        <v>43</v>
      </c>
      <c r="D33" s="23" t="s">
        <v>16</v>
      </c>
      <c r="E33" s="24">
        <v>51</v>
      </c>
      <c r="H33"/>
      <c r="I33"/>
      <c r="J33" s="3"/>
      <c r="K33" s="3"/>
      <c r="L33" s="3"/>
    </row>
    <row r="34" spans="1:12" x14ac:dyDescent="0.3">
      <c r="A34" s="25" t="s">
        <v>63</v>
      </c>
      <c r="B34" s="6" t="s">
        <v>69</v>
      </c>
      <c r="C34" s="7">
        <v>13</v>
      </c>
      <c r="D34" s="7" t="s">
        <v>16</v>
      </c>
      <c r="E34" s="26">
        <v>30</v>
      </c>
      <c r="H34"/>
      <c r="I34"/>
      <c r="J34" s="3"/>
      <c r="K34" s="3"/>
      <c r="L34" s="3"/>
    </row>
    <row r="35" spans="1:12" x14ac:dyDescent="0.3">
      <c r="A35" s="25" t="s">
        <v>65</v>
      </c>
      <c r="B35" s="6" t="s">
        <v>19</v>
      </c>
      <c r="C35" s="7">
        <v>23</v>
      </c>
      <c r="D35" s="7" t="s">
        <v>16</v>
      </c>
      <c r="E35" s="26">
        <v>14</v>
      </c>
    </row>
    <row r="36" spans="1:12" x14ac:dyDescent="0.3">
      <c r="A36" s="25" t="s">
        <v>67</v>
      </c>
      <c r="B36" s="6" t="s">
        <v>33</v>
      </c>
      <c r="C36" s="79"/>
      <c r="D36" s="79" t="s">
        <v>16</v>
      </c>
      <c r="E36" s="80"/>
      <c r="F36" s="84" t="s">
        <v>144</v>
      </c>
    </row>
    <row r="37" spans="1:12" x14ac:dyDescent="0.3">
      <c r="A37" s="25" t="s">
        <v>68</v>
      </c>
      <c r="B37" s="6" t="s">
        <v>69</v>
      </c>
      <c r="C37" s="7">
        <v>45</v>
      </c>
      <c r="D37" s="7" t="s">
        <v>16</v>
      </c>
      <c r="E37" s="26">
        <v>47</v>
      </c>
    </row>
    <row r="38" spans="1:12" x14ac:dyDescent="0.3">
      <c r="A38" s="25" t="s">
        <v>19</v>
      </c>
      <c r="B38" s="25" t="s">
        <v>67</v>
      </c>
      <c r="C38" s="7">
        <v>26</v>
      </c>
      <c r="D38" s="7" t="s">
        <v>16</v>
      </c>
      <c r="E38" s="26">
        <v>36</v>
      </c>
    </row>
    <row r="39" spans="1:12" x14ac:dyDescent="0.3">
      <c r="A39" s="25" t="s">
        <v>65</v>
      </c>
      <c r="B39" s="6" t="s">
        <v>33</v>
      </c>
      <c r="C39" s="7">
        <v>43</v>
      </c>
      <c r="D39" s="7" t="s">
        <v>16</v>
      </c>
      <c r="E39" s="26">
        <v>35</v>
      </c>
    </row>
    <row r="40" spans="1:12" ht="15" thickBot="1" x14ac:dyDescent="0.35">
      <c r="A40" s="27" t="s">
        <v>109</v>
      </c>
      <c r="B40" s="28" t="s">
        <v>63</v>
      </c>
      <c r="C40" s="29">
        <v>39</v>
      </c>
      <c r="D40" s="29" t="s">
        <v>16</v>
      </c>
      <c r="E40" s="30">
        <v>30</v>
      </c>
    </row>
    <row r="43" spans="1:12" ht="15" thickBot="1" x14ac:dyDescent="0.35">
      <c r="A43" s="20" t="s">
        <v>146</v>
      </c>
    </row>
    <row r="44" spans="1:12" x14ac:dyDescent="0.3">
      <c r="A44" s="21" t="s">
        <v>68</v>
      </c>
      <c r="B44" s="22" t="s">
        <v>65</v>
      </c>
      <c r="C44" s="23">
        <v>39</v>
      </c>
      <c r="D44" s="23" t="s">
        <v>16</v>
      </c>
      <c r="E44" s="24">
        <v>28</v>
      </c>
    </row>
    <row r="45" spans="1:12" x14ac:dyDescent="0.3">
      <c r="A45" s="25" t="s">
        <v>69</v>
      </c>
      <c r="B45" s="6" t="s">
        <v>67</v>
      </c>
      <c r="C45" s="7">
        <v>55</v>
      </c>
      <c r="D45" s="7" t="s">
        <v>16</v>
      </c>
      <c r="E45" s="26">
        <v>28</v>
      </c>
    </row>
    <row r="46" spans="1:12" x14ac:dyDescent="0.3">
      <c r="A46" s="25" t="s">
        <v>19</v>
      </c>
      <c r="B46" s="6" t="s">
        <v>109</v>
      </c>
      <c r="C46" s="7">
        <v>30</v>
      </c>
      <c r="D46" s="7" t="s">
        <v>16</v>
      </c>
      <c r="E46" s="26">
        <v>33</v>
      </c>
    </row>
    <row r="47" spans="1:12" x14ac:dyDescent="0.3">
      <c r="A47" s="25" t="s">
        <v>33</v>
      </c>
      <c r="B47" s="6" t="s">
        <v>63</v>
      </c>
      <c r="C47" s="6">
        <v>29</v>
      </c>
      <c r="D47" s="7" t="s">
        <v>16</v>
      </c>
      <c r="E47" s="91">
        <v>25</v>
      </c>
      <c r="H47" s="41"/>
      <c r="I47"/>
    </row>
    <row r="48" spans="1:12" x14ac:dyDescent="0.3">
      <c r="A48" s="25" t="s">
        <v>19</v>
      </c>
      <c r="B48" s="6" t="s">
        <v>68</v>
      </c>
      <c r="C48" s="6">
        <v>21</v>
      </c>
      <c r="D48" s="7" t="s">
        <v>16</v>
      </c>
      <c r="E48" s="91">
        <v>41</v>
      </c>
      <c r="G48" s="42"/>
      <c r="H48"/>
      <c r="I48"/>
      <c r="J48" s="3"/>
      <c r="K48" s="3"/>
      <c r="L48" s="3"/>
    </row>
    <row r="49" spans="1:12" x14ac:dyDescent="0.3">
      <c r="A49" s="25" t="s">
        <v>69</v>
      </c>
      <c r="B49" s="6" t="s">
        <v>33</v>
      </c>
      <c r="C49" s="6">
        <v>57</v>
      </c>
      <c r="D49" s="7" t="s">
        <v>16</v>
      </c>
      <c r="E49" s="91">
        <v>25</v>
      </c>
      <c r="H49"/>
      <c r="I49"/>
      <c r="J49" s="3"/>
      <c r="K49" s="3"/>
      <c r="L49" s="3"/>
    </row>
    <row r="50" spans="1:12" x14ac:dyDescent="0.3">
      <c r="A50" s="25" t="s">
        <v>109</v>
      </c>
      <c r="B50" s="6" t="s">
        <v>67</v>
      </c>
      <c r="C50" s="6">
        <v>39</v>
      </c>
      <c r="D50" s="7" t="s">
        <v>16</v>
      </c>
      <c r="E50" s="91">
        <v>28</v>
      </c>
      <c r="H50"/>
      <c r="I50"/>
      <c r="J50" s="3"/>
      <c r="K50" s="3"/>
      <c r="L50" s="3"/>
    </row>
    <row r="51" spans="1:12" ht="15" thickBot="1" x14ac:dyDescent="0.35">
      <c r="A51" s="27" t="s">
        <v>63</v>
      </c>
      <c r="B51" s="28" t="s">
        <v>65</v>
      </c>
      <c r="C51" s="28">
        <v>33</v>
      </c>
      <c r="D51" s="28" t="s">
        <v>16</v>
      </c>
      <c r="E51" s="90">
        <v>43</v>
      </c>
      <c r="H51"/>
      <c r="I51"/>
      <c r="J51" s="3"/>
      <c r="K51" s="3"/>
      <c r="L51" s="3"/>
    </row>
    <row r="54" spans="1:12" ht="15" thickBot="1" x14ac:dyDescent="0.35">
      <c r="A54" s="20" t="s">
        <v>148</v>
      </c>
    </row>
    <row r="55" spans="1:12" x14ac:dyDescent="0.3">
      <c r="A55" s="21" t="s">
        <v>68</v>
      </c>
      <c r="B55" s="22" t="s">
        <v>67</v>
      </c>
      <c r="C55" s="23">
        <v>47</v>
      </c>
      <c r="D55" s="23" t="s">
        <v>16</v>
      </c>
      <c r="E55" s="24">
        <v>31</v>
      </c>
    </row>
    <row r="56" spans="1:12" ht="15" thickBot="1" x14ac:dyDescent="0.35">
      <c r="A56" s="27" t="s">
        <v>69</v>
      </c>
      <c r="B56" s="28" t="s">
        <v>65</v>
      </c>
      <c r="C56" s="29">
        <v>54</v>
      </c>
      <c r="D56" s="29" t="s">
        <v>16</v>
      </c>
      <c r="E56" s="30">
        <v>37</v>
      </c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1EA6-42DF-4781-B0C5-9A555EECE512}">
  <sheetPr codeName="Sheet15">
    <tabColor rgb="FFF9B1E8"/>
  </sheetPr>
  <dimension ref="A1:AG55"/>
  <sheetViews>
    <sheetView workbookViewId="0">
      <selection activeCell="H18" sqref="H18"/>
    </sheetView>
  </sheetViews>
  <sheetFormatPr defaultRowHeight="14.4" x14ac:dyDescent="0.3"/>
  <cols>
    <col min="1" max="1" width="28" bestFit="1" customWidth="1"/>
    <col min="2" max="2" width="13.4414062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3.4414062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4.6640625" bestFit="1" customWidth="1"/>
    <col min="17" max="17" width="12" bestFit="1" customWidth="1"/>
    <col min="21" max="21" width="11.44140625" customWidth="1"/>
    <col min="23" max="23" width="13.332031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4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44" t="s">
        <v>100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Frances Baard</v>
      </c>
      <c r="X3" s="2" cm="1">
        <f t="array" ref="X3">SUM(($A$17:$A$629=W3)*(ISNUMBER($C$17:$C$629)),($B$17:$B$629=W3)*(ISNUMBER($E$17:$E$629)))</f>
        <v>7</v>
      </c>
      <c r="Y3" s="3" cm="1">
        <f t="array" ref="Y3">SUMPRODUCT(($A$17:$A$629=W3)*($C$17:$C$629&gt;$E$17:$E$629)) +
 SUMPRODUCT(($B$17:$B$629=W3)*($E$17:$E$629&gt;$C$17:$C$629))</f>
        <v>7</v>
      </c>
      <c r="Z3" s="3" cm="1">
        <f t="array" ref="Z3">SUM(($A$17:$A$629=W3)*($C$17:$C$629=$E$17:$E$629)*ISNUMBER($E$17:$E$629),($B$17:$B$629=W3)*($E$17:$E$629=$C$17:$C$629)*ISNUMBER($C$17:$C$629))</f>
        <v>0</v>
      </c>
      <c r="AA3" s="3" cm="1">
        <f t="array" ref="AA3">SUM(($A$17:$A$629=W3)*($C$17:$C$629&lt;$E$17:$E$629),($B$17:$B$629=W3)*($E$17:$E$629&lt;$C$17:$C$629))</f>
        <v>0</v>
      </c>
      <c r="AB3" s="4">
        <f t="shared" ref="AB3:AB10" si="0">SUMIF($A$17:$A$629,W3,$C$17:$C$629)+SUMIF($B$17:$B$629,W3,$E$17:$E$629)</f>
        <v>462</v>
      </c>
      <c r="AC3" s="5">
        <f t="shared" ref="AC3:AC10" si="1">SUMIF($A$17:$A$629,W3,$E$17:$E$629)+SUMIF($B$17:$B$629,W3,$C$17:$C$629)</f>
        <v>204</v>
      </c>
      <c r="AD3" s="3">
        <f>AB3-AC3</f>
        <v>258</v>
      </c>
      <c r="AE3" s="4">
        <f>Y3*Points!$B$2+Z3*Points!$B$3</f>
        <v>14</v>
      </c>
      <c r="AF3">
        <f>AB3+AD3*10000+AE3*100000000</f>
        <v>1402580462</v>
      </c>
      <c r="AG3">
        <f>AB3/AC3/X3</f>
        <v>0.3235294117647059</v>
      </c>
    </row>
    <row r="4" spans="1:33" ht="28.8" x14ac:dyDescent="0.55000000000000004">
      <c r="A4" s="6" t="s">
        <v>39</v>
      </c>
      <c r="H4" s="115" t="s">
        <v>100</v>
      </c>
      <c r="I4" s="116"/>
      <c r="J4" s="116"/>
      <c r="K4" s="116"/>
      <c r="L4" s="116"/>
      <c r="M4" s="116"/>
      <c r="N4" s="116"/>
      <c r="O4" s="116"/>
      <c r="P4" s="116"/>
      <c r="Q4" s="116"/>
      <c r="W4" s="1" t="str">
        <f>A5</f>
        <v>Capricorn B</v>
      </c>
      <c r="X4" s="2" cm="1">
        <f t="array" ref="X4">SUM(($A$17:$A$629=W4)*(ISNUMBER($C$17:$C$629)),($B$17:$B$629=W4)*(ISNUMBER($E$17:$E$629)))</f>
        <v>6</v>
      </c>
      <c r="Y4" s="3" cm="1">
        <f t="array" ref="Y4">SUMPRODUCT(($A$17:$A$629=W4)*($C$17:$C$629&gt;$E$17:$E$629)) +
 SUMPRODUCT(($B$17:$B$629=W4)*($E$17:$E$629&gt;$C$17:$C$629))</f>
        <v>3</v>
      </c>
      <c r="Z4" s="3" cm="1">
        <f t="array" ref="Z4">SUM(($A$17:$A$629=W4)*($C$17:$C$629=$E$17:$E$629)*ISNUMBER($E$17:$E$629),($B$17:$B$629=W4)*($E$17:$E$629=$C$17:$C$629)*ISNUMBER($C$17:$C$629))</f>
        <v>0</v>
      </c>
      <c r="AA4" s="3" cm="1">
        <f t="array" ref="AA4">SUM(($A$17:$A$629=W4)*($C$17:$C$629&lt;$E$17:$E$629),($B$17:$B$629=W4)*($E$17:$E$629&lt;$C$17:$C$629)) + 1</f>
        <v>4</v>
      </c>
      <c r="AB4" s="4">
        <f t="shared" si="0"/>
        <v>269</v>
      </c>
      <c r="AC4" s="5">
        <f t="shared" si="1"/>
        <v>269</v>
      </c>
      <c r="AD4" s="3">
        <f t="shared" ref="AD4" si="2">AB4-AC4</f>
        <v>0</v>
      </c>
      <c r="AE4" s="4">
        <f>Y4*Points!$B$2+Z4*Points!$B$3</f>
        <v>6</v>
      </c>
      <c r="AF4">
        <f t="shared" ref="AF4" si="3">AB4+AD4*10000+AE4*100000000</f>
        <v>600000269</v>
      </c>
      <c r="AG4">
        <f t="shared" ref="AG4:AG10" si="4">AB4/AC4/X4</f>
        <v>0.16666666666666666</v>
      </c>
    </row>
    <row r="5" spans="1:33" x14ac:dyDescent="0.3">
      <c r="A5" s="6" t="s">
        <v>34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Ekhurleni B</v>
      </c>
      <c r="X5" s="2" cm="1">
        <f t="array" ref="X5">SUM(($A$17:$A$629=W5)*(ISNUMBER($C$17:$C$629)),($B$17:$B$629=W5)*(ISNUMBER($E$17:$E$629)))</f>
        <v>7</v>
      </c>
      <c r="Y5" s="3" cm="1">
        <f t="array" ref="Y5">SUMPRODUCT(($A$17:$A$629=W5)*($C$17:$C$629&gt;$E$17:$E$629)) +
 SUMPRODUCT(($B$17:$B$629=W5)*($E$17:$E$629&gt;$C$17:$C$629))</f>
        <v>4</v>
      </c>
      <c r="Z5" s="3" cm="1">
        <f t="array" ref="Z5">SUM(($A$17:$A$629=W5)*($C$17:$C$629=$E$17:$E$629)*ISNUMBER($E$17:$E$629),($B$17:$B$629=W5)*($E$17:$E$629=$C$17:$C$629)*ISNUMBER($C$17:$C$629))</f>
        <v>0</v>
      </c>
      <c r="AA5" s="3" cm="1">
        <f t="array" ref="AA5">SUM(($A$17:$A$629=W5)*($C$17:$C$629&lt;$E$17:$E$629),($B$17:$B$629=W5)*($E$17:$E$629&lt;$C$17:$C$629))</f>
        <v>3</v>
      </c>
      <c r="AB5" s="4">
        <f t="shared" si="0"/>
        <v>299</v>
      </c>
      <c r="AC5" s="5">
        <f t="shared" si="1"/>
        <v>272</v>
      </c>
      <c r="AD5" s="3">
        <f>AB5-AC5</f>
        <v>27</v>
      </c>
      <c r="AE5" s="4">
        <f>Y5*Points!$B$2+Z5*Points!$B$3</f>
        <v>8</v>
      </c>
      <c r="AF5">
        <f>AB5+AD5*10000+AE5*100000000</f>
        <v>800270299</v>
      </c>
      <c r="AG5">
        <f t="shared" si="4"/>
        <v>0.15703781512605045</v>
      </c>
    </row>
    <row r="6" spans="1:33" x14ac:dyDescent="0.3">
      <c r="A6" s="6" t="s">
        <v>31</v>
      </c>
      <c r="H6" s="6" t="str" cm="1">
        <f t="array" ref="H6">INDEX($W$3:$W$10,MATCH(LARGE($AF$3:$AF$10-ROW($AF$3:$AF$10)/COUNT($AF$3:$AF$10),ROW(H6)-ROW(H$6)+1),$AF$3:$AF$10-ROW($AF$3:$AF$10)/COUNT($AF$3:$AF$10),0))</f>
        <v>Frances Baard</v>
      </c>
      <c r="I6" s="7">
        <f>VLOOKUP($H6,$W$3:$AE$10,2,0)</f>
        <v>7</v>
      </c>
      <c r="J6" s="7">
        <f>VLOOKUP($H6,$W$3:$AE$10,3,0)</f>
        <v>7</v>
      </c>
      <c r="K6" s="7">
        <f>VLOOKUP($H6,$W$3:$AE$10,5,0)</f>
        <v>0</v>
      </c>
      <c r="L6" s="7">
        <f>VLOOKUP($H6,$W$3:$AE$10,4,0)</f>
        <v>0</v>
      </c>
      <c r="M6" s="7">
        <f>VLOOKUP($H6,$W$3:$AE$10,9,0)</f>
        <v>14</v>
      </c>
      <c r="N6" s="7">
        <f>VLOOKUP($H6,$W$3:$AE$10,6,0)</f>
        <v>462</v>
      </c>
      <c r="O6" s="7">
        <f>VLOOKUP($H6,$W$3:$AE$10,7,0)</f>
        <v>204</v>
      </c>
      <c r="P6" s="7">
        <f>VLOOKUP($H6,$W$3:$AE$10,8,0)</f>
        <v>258</v>
      </c>
      <c r="Q6" s="60">
        <f>VLOOKUP($H6,$W$3:$AG$10,11,0)</f>
        <v>0.3235294117647059</v>
      </c>
      <c r="W6" s="1" t="str">
        <f t="shared" ref="W6:W8" si="5">A7</f>
        <v>Joe Gqabi</v>
      </c>
      <c r="X6" s="2" cm="1">
        <f t="array" ref="X6">SUM(($A$17:$A$629=W6)*(ISNUMBER($C$17:$C$629)),($B$17:$B$629=W6)*(ISNUMBER($E$17:$E$629)))</f>
        <v>7</v>
      </c>
      <c r="Y6" s="3" cm="1">
        <f t="array" ref="Y6">SUMPRODUCT(($A$17:$A$629=W6)*($C$17:$C$629&gt;$E$17:$E$629)) +
 SUMPRODUCT(($B$17:$B$629=W6)*($E$17:$E$629&gt;$C$17:$C$629))</f>
        <v>3</v>
      </c>
      <c r="Z6" s="3" cm="1">
        <f t="array" ref="Z6">SUM(($A$17:$A$629=W6)*($C$17:$C$629=$E$17:$E$629)*ISNUMBER($E$17:$E$629),($B$17:$B$629=W6)*($E$17:$E$629=$C$17:$C$629)*ISNUMBER($C$17:$C$629))</f>
        <v>0</v>
      </c>
      <c r="AA6" s="3" cm="1">
        <f t="array" ref="AA6">SUM(($A$17:$A$629=W6)*($C$17:$C$629&lt;$E$17:$E$629),($B$17:$B$629=W6)*($E$17:$E$629&lt;$C$17:$C$629))</f>
        <v>4</v>
      </c>
      <c r="AB6" s="4">
        <f t="shared" si="0"/>
        <v>242</v>
      </c>
      <c r="AC6" s="5">
        <f t="shared" si="1"/>
        <v>268</v>
      </c>
      <c r="AD6" s="3">
        <f t="shared" ref="AD6:AD8" si="6">AB6-AC6</f>
        <v>-26</v>
      </c>
      <c r="AE6" s="4">
        <f>Y6*Points!$B$2+Z6*Points!$B$3</f>
        <v>6</v>
      </c>
      <c r="AF6">
        <f t="shared" ref="AF6:AF8" si="7">AB6+AD6*10000+AE6*100000000</f>
        <v>599740242</v>
      </c>
      <c r="AG6">
        <f t="shared" si="4"/>
        <v>0.12899786780383796</v>
      </c>
    </row>
    <row r="7" spans="1:33" x14ac:dyDescent="0.3">
      <c r="A7" s="6" t="s">
        <v>64</v>
      </c>
      <c r="H7" s="6" t="str" cm="1">
        <f t="array" ref="H7">INDEX($W$3:$W$10,MATCH(LARGE($AF$3:$AF$10-ROW($AF$3:$AF$10)/COUNT($AF$3:$AF$10),ROW(H7)-ROW(H$6)+1),$AF$3:$AF$10-ROW($AF$3:$AF$10)/COUNT($AF$3:$AF$10),0))</f>
        <v>uMkhanyakude</v>
      </c>
      <c r="I7" s="7">
        <f t="shared" ref="I7:I13" si="8">VLOOKUP($H7,$W$3:$AE$10,2,0)</f>
        <v>7</v>
      </c>
      <c r="J7" s="7">
        <f t="shared" ref="J7:J13" si="9">VLOOKUP($H7,$W$3:$AE$10,3,0)</f>
        <v>6</v>
      </c>
      <c r="K7" s="7">
        <f t="shared" ref="K7:K13" si="10">VLOOKUP($H7,$W$3:$AE$10,5,0)</f>
        <v>1</v>
      </c>
      <c r="L7" s="7">
        <f t="shared" ref="L7:L13" si="11">VLOOKUP($H7,$W$3:$AE$10,4,0)</f>
        <v>0</v>
      </c>
      <c r="M7" s="7">
        <f t="shared" ref="M7:M13" si="12">VLOOKUP($H7,$W$3:$AE$10,9,0)</f>
        <v>12</v>
      </c>
      <c r="N7" s="7">
        <f t="shared" ref="N7:N13" si="13">VLOOKUP($H7,$W$3:$AE$10,6,0)</f>
        <v>374</v>
      </c>
      <c r="O7" s="7">
        <f t="shared" ref="O7:O13" si="14">VLOOKUP($H7,$W$3:$AE$10,7,0)</f>
        <v>294</v>
      </c>
      <c r="P7" s="7">
        <f t="shared" ref="P7:P13" si="15">VLOOKUP($H7,$W$3:$AE$10,8,0)</f>
        <v>80</v>
      </c>
      <c r="Q7" s="60">
        <f t="shared" ref="Q7:Q13" si="16">VLOOKUP($H7,$W$3:$AG$10,11,0)</f>
        <v>0.18172983479105928</v>
      </c>
      <c r="W7" s="1" t="str">
        <f t="shared" si="5"/>
        <v>Central Karoo</v>
      </c>
      <c r="X7" s="2" cm="1">
        <f t="array" ref="X7">SUM(($A$17:$A$629=W7)*(ISNUMBER($C$17:$C$629)),($B$17:$B$629=W7)*(ISNUMBER($E$17:$E$629)))</f>
        <v>7</v>
      </c>
      <c r="Y7" s="3" cm="1">
        <f t="array" ref="Y7">SUMPRODUCT(($A$17:$A$629=W7)*($C$17:$C$629&gt;$E$17:$E$629)) +
 SUMPRODUCT(($B$17:$B$629=W7)*($E$17:$E$629&gt;$C$17:$C$629))</f>
        <v>1</v>
      </c>
      <c r="Z7" s="3" cm="1">
        <f t="array" ref="Z7">SUM(($A$17:$A$629=W7)*($C$17:$C$629=$E$17:$E$629)*ISNUMBER($E$17:$E$629),($B$17:$B$629=W7)*($E$17:$E$629=$C$17:$C$629)*ISNUMBER($C$17:$C$629))</f>
        <v>0</v>
      </c>
      <c r="AA7" s="3" cm="1">
        <f t="array" ref="AA7">SUM(($A$17:$A$629=W7)*($C$17:$C$629&lt;$E$17:$E$629),($B$17:$B$629=W7)*($E$17:$E$629&lt;$C$17:$C$629))</f>
        <v>6</v>
      </c>
      <c r="AB7" s="4">
        <f t="shared" si="0"/>
        <v>215</v>
      </c>
      <c r="AC7" s="5">
        <f t="shared" si="1"/>
        <v>390</v>
      </c>
      <c r="AD7" s="3">
        <f t="shared" si="6"/>
        <v>-175</v>
      </c>
      <c r="AE7" s="4">
        <f>Y7*Points!$B$2+Z7*Points!$B$3</f>
        <v>2</v>
      </c>
      <c r="AF7">
        <f t="shared" si="7"/>
        <v>198250215</v>
      </c>
      <c r="AG7">
        <f t="shared" si="4"/>
        <v>7.8754578754578766E-2</v>
      </c>
    </row>
    <row r="8" spans="1:33" x14ac:dyDescent="0.3">
      <c r="A8" s="6" t="s">
        <v>66</v>
      </c>
      <c r="H8" s="6" t="str" cm="1">
        <f t="array" ref="H8">INDEX($W$3:$W$10,MATCH(LARGE($AF$3:$AF$10-ROW($AF$3:$AF$10)/COUNT($AF$3:$AF$10),ROW(H8)-ROW(H$6)+1),$AF$3:$AF$10-ROW($AF$3:$AF$10)/COUNT($AF$3:$AF$10),0))</f>
        <v>Ekhurleni B</v>
      </c>
      <c r="I8" s="7">
        <f t="shared" si="8"/>
        <v>7</v>
      </c>
      <c r="J8" s="7">
        <f t="shared" si="9"/>
        <v>4</v>
      </c>
      <c r="K8" s="7">
        <f t="shared" si="10"/>
        <v>3</v>
      </c>
      <c r="L8" s="7">
        <f t="shared" si="11"/>
        <v>0</v>
      </c>
      <c r="M8" s="7">
        <f t="shared" si="12"/>
        <v>8</v>
      </c>
      <c r="N8" s="7">
        <f t="shared" si="13"/>
        <v>299</v>
      </c>
      <c r="O8" s="7">
        <f t="shared" si="14"/>
        <v>272</v>
      </c>
      <c r="P8" s="7">
        <f t="shared" si="15"/>
        <v>27</v>
      </c>
      <c r="Q8" s="60">
        <f t="shared" si="16"/>
        <v>0.15703781512605045</v>
      </c>
      <c r="W8" s="1" t="str">
        <f t="shared" si="5"/>
        <v>Ilembe</v>
      </c>
      <c r="X8" s="2" cm="1">
        <f t="array" ref="X8">SUM(($A$17:$A$629=W8)*(ISNUMBER($C$17:$C$629)),($B$17:$B$629=W8)*(ISNUMBER($E$17:$E$629)))</f>
        <v>7</v>
      </c>
      <c r="Y8" s="3" cm="1">
        <f t="array" ref="Y8">SUMPRODUCT(($A$17:$A$629=W8)*($C$17:$C$629&gt;$E$17:$E$629)) +
 SUMPRODUCT(($B$17:$B$629=W8)*($E$17:$E$629&gt;$C$17:$C$629))</f>
        <v>0</v>
      </c>
      <c r="Z8" s="3" cm="1">
        <f t="array" ref="Z8">SUM(($A$17:$A$629=W8)*($C$17:$C$629=$E$17:$E$629)*ISNUMBER($E$17:$E$629),($B$17:$B$629=W8)*($E$17:$E$629=$C$17:$C$629)*ISNUMBER($C$17:$C$629))</f>
        <v>0</v>
      </c>
      <c r="AA8" s="3" cm="1">
        <f t="array" ref="AA8">SUM(($A$17:$A$629=W8)*($C$17:$C$629&lt;$E$17:$E$629),($B$17:$B$629=W8)*($E$17:$E$629&lt;$C$17:$C$629))</f>
        <v>7</v>
      </c>
      <c r="AB8" s="4">
        <f t="shared" si="0"/>
        <v>206</v>
      </c>
      <c r="AC8" s="5">
        <f t="shared" si="1"/>
        <v>348</v>
      </c>
      <c r="AD8" s="3">
        <f t="shared" si="6"/>
        <v>-142</v>
      </c>
      <c r="AE8" s="4">
        <f>Y8*Points!$B$2+Z8*Points!$B$3</f>
        <v>0</v>
      </c>
      <c r="AF8">
        <f t="shared" si="7"/>
        <v>-1419794</v>
      </c>
      <c r="AG8">
        <f t="shared" si="4"/>
        <v>8.4564860426929386E-2</v>
      </c>
    </row>
    <row r="9" spans="1:33" x14ac:dyDescent="0.3">
      <c r="A9" s="6" t="s">
        <v>32</v>
      </c>
      <c r="H9" s="6" t="str" cm="1">
        <f t="array" ref="H9">INDEX($W$3:$W$10,MATCH(LARGE($AF$3:$AF$10-ROW($AF$3:$AF$10)/COUNT($AF$3:$AF$10),ROW(H9)-ROW(H$6)+1),$AF$3:$AF$10-ROW($AF$3:$AF$10)/COUNT($AF$3:$AF$10),0))</f>
        <v>Amathole</v>
      </c>
      <c r="I9" s="7">
        <f t="shared" si="8"/>
        <v>6</v>
      </c>
      <c r="J9" s="7">
        <f t="shared" si="9"/>
        <v>4</v>
      </c>
      <c r="K9" s="7">
        <f t="shared" si="10"/>
        <v>3</v>
      </c>
      <c r="L9" s="7">
        <f t="shared" si="11"/>
        <v>0</v>
      </c>
      <c r="M9" s="7">
        <f t="shared" si="12"/>
        <v>8</v>
      </c>
      <c r="N9" s="7">
        <f t="shared" si="13"/>
        <v>231</v>
      </c>
      <c r="O9" s="7">
        <f t="shared" si="14"/>
        <v>253</v>
      </c>
      <c r="P9" s="7">
        <f t="shared" si="15"/>
        <v>-22</v>
      </c>
      <c r="Q9" s="60">
        <f t="shared" si="16"/>
        <v>0.15217391304347824</v>
      </c>
      <c r="W9" s="1" t="str">
        <f t="shared" ref="W9:W10" si="17">A10</f>
        <v>uMkhanyakude</v>
      </c>
      <c r="X9" s="2" cm="1">
        <f t="array" ref="X9">SUM(($A$17:$A$629=W9)*(ISNUMBER($C$17:$C$629)),($B$17:$B$629=W9)*(ISNUMBER($E$17:$E$629)))</f>
        <v>7</v>
      </c>
      <c r="Y9" s="3" cm="1">
        <f t="array" ref="Y9">SUMPRODUCT(($A$17:$A$629=W9)*($C$17:$C$629&gt;$E$17:$E$629)) +
 SUMPRODUCT(($B$17:$B$629=W9)*($E$17:$E$629&gt;$C$17:$C$629))</f>
        <v>6</v>
      </c>
      <c r="Z9" s="3" cm="1">
        <f t="array" ref="Z9">SUM(($A$17:$A$629=W9)*($C$17:$C$629=$E$17:$E$629)*ISNUMBER($E$17:$E$629),($B$17:$B$629=W9)*($E$17:$E$629=$C$17:$C$629)*ISNUMBER($C$17:$C$629))</f>
        <v>0</v>
      </c>
      <c r="AA9" s="3" cm="1">
        <f t="array" ref="AA9">SUM(($A$17:$A$629=W9)*($C$17:$C$629&lt;$E$17:$E$629),($B$17:$B$629=W9)*($E$17:$E$629&lt;$C$17:$C$629))</f>
        <v>1</v>
      </c>
      <c r="AB9" s="4">
        <f t="shared" si="0"/>
        <v>374</v>
      </c>
      <c r="AC9" s="5">
        <f t="shared" si="1"/>
        <v>294</v>
      </c>
      <c r="AD9" s="3">
        <f t="shared" ref="AD9:AD10" si="18">AB9-AC9</f>
        <v>80</v>
      </c>
      <c r="AE9" s="4">
        <f>Y9*Points!$B$2+Z9*Points!$B$3</f>
        <v>12</v>
      </c>
      <c r="AF9">
        <f t="shared" ref="AF9:AF10" si="19">AB9+AD9*10000+AE9*100000000</f>
        <v>1200800374</v>
      </c>
      <c r="AG9">
        <f t="shared" si="4"/>
        <v>0.18172983479105928</v>
      </c>
    </row>
    <row r="10" spans="1:33" x14ac:dyDescent="0.3">
      <c r="A10" s="6" t="s">
        <v>106</v>
      </c>
      <c r="H10" s="6" t="str" cm="1">
        <f t="array" ref="H10">INDEX($W$3:$W$10,MATCH(LARGE($AF$3:$AF$10-ROW($AF$3:$AF$10)/COUNT($AF$3:$AF$10),ROW(H10)-ROW(H$6)+1),$AF$3:$AF$10-ROW($AF$3:$AF$10)/COUNT($AF$3:$AF$10),0))</f>
        <v>Capricorn B</v>
      </c>
      <c r="I10" s="7">
        <f t="shared" si="8"/>
        <v>6</v>
      </c>
      <c r="J10" s="7">
        <f t="shared" si="9"/>
        <v>3</v>
      </c>
      <c r="K10" s="7">
        <f t="shared" si="10"/>
        <v>4</v>
      </c>
      <c r="L10" s="7">
        <f t="shared" si="11"/>
        <v>0</v>
      </c>
      <c r="M10" s="7">
        <f t="shared" si="12"/>
        <v>6</v>
      </c>
      <c r="N10" s="7">
        <f t="shared" si="13"/>
        <v>269</v>
      </c>
      <c r="O10" s="7">
        <f t="shared" si="14"/>
        <v>269</v>
      </c>
      <c r="P10" s="7">
        <f t="shared" si="15"/>
        <v>0</v>
      </c>
      <c r="Q10" s="60">
        <f t="shared" si="16"/>
        <v>0.16666666666666666</v>
      </c>
      <c r="W10" s="1" t="str">
        <f t="shared" si="17"/>
        <v>Amathole</v>
      </c>
      <c r="X10" s="2" cm="1">
        <f t="array" ref="X10">SUM(($A$17:$A$629=W10)*(ISNUMBER($C$17:$C$629)),($B$17:$B$629=W10)*(ISNUMBER($E$17:$E$629)))</f>
        <v>6</v>
      </c>
      <c r="Y10" s="3" cm="1">
        <f t="array" ref="Y10">SUMPRODUCT(($A$17:$A$629=W10)*($C$17:$C$629&gt;$E$17:$E$629)) +
 SUMPRODUCT(($B$17:$B$629=W10)*($E$17:$E$629&gt;$C$17:$C$629)) + 1</f>
        <v>4</v>
      </c>
      <c r="Z10" s="3" cm="1">
        <f t="array" ref="Z10">SUM(($A$17:$A$629=W10)*($C$17:$C$629=$E$17:$E$629)*ISNUMBER($E$17:$E$629),($B$17:$B$629=W10)*($E$17:$E$629=$C$17:$C$629)*ISNUMBER($C$17:$C$629))</f>
        <v>0</v>
      </c>
      <c r="AA10" s="3" cm="1">
        <f t="array" ref="AA10">SUM(($A$17:$A$629=W10)*($C$17:$C$629&lt;$E$17:$E$629),($B$17:$B$629=W10)*($E$17:$E$629&lt;$C$17:$C$629))</f>
        <v>3</v>
      </c>
      <c r="AB10" s="4">
        <f t="shared" si="0"/>
        <v>231</v>
      </c>
      <c r="AC10" s="5">
        <f t="shared" si="1"/>
        <v>253</v>
      </c>
      <c r="AD10" s="3">
        <f t="shared" si="18"/>
        <v>-22</v>
      </c>
      <c r="AE10" s="4">
        <f>Y10*Points!$B$2+Z10*Points!$B$3</f>
        <v>8</v>
      </c>
      <c r="AF10">
        <f t="shared" si="19"/>
        <v>799780231</v>
      </c>
      <c r="AG10">
        <f t="shared" si="4"/>
        <v>0.15217391304347824</v>
      </c>
    </row>
    <row r="11" spans="1:33" x14ac:dyDescent="0.3">
      <c r="A11" s="6" t="s">
        <v>22</v>
      </c>
      <c r="H11" s="6" t="str" cm="1">
        <f t="array" ref="H11">INDEX($W$3:$W$10,MATCH(LARGE($AF$3:$AF$10-ROW($AF$3:$AF$10)/COUNT($AF$3:$AF$10),ROW(H11)-ROW(H$6)+1),$AF$3:$AF$10-ROW($AF$3:$AF$10)/COUNT($AF$3:$AF$10),0))</f>
        <v>Joe Gqabi</v>
      </c>
      <c r="I11" s="7">
        <f t="shared" si="8"/>
        <v>7</v>
      </c>
      <c r="J11" s="7">
        <f t="shared" si="9"/>
        <v>3</v>
      </c>
      <c r="K11" s="7">
        <f t="shared" si="10"/>
        <v>4</v>
      </c>
      <c r="L11" s="7">
        <f t="shared" si="11"/>
        <v>0</v>
      </c>
      <c r="M11" s="7">
        <f t="shared" si="12"/>
        <v>6</v>
      </c>
      <c r="N11" s="7">
        <f t="shared" si="13"/>
        <v>242</v>
      </c>
      <c r="O11" s="7">
        <f t="shared" si="14"/>
        <v>268</v>
      </c>
      <c r="P11" s="7">
        <f t="shared" si="15"/>
        <v>-26</v>
      </c>
      <c r="Q11" s="60">
        <f t="shared" si="16"/>
        <v>0.12899786780383796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 s="6" t="str" cm="1">
        <f t="array" ref="H12">INDEX($W$3:$W$10,MATCH(LARGE($AF$3:$AF$10-ROW($AF$3:$AF$10)/COUNT($AF$3:$AF$10),ROW(H12)-ROW(H$6)+1),$AF$3:$AF$10-ROW($AF$3:$AF$10)/COUNT($AF$3:$AF$10),0))</f>
        <v>Central Karoo</v>
      </c>
      <c r="I12" s="7">
        <f t="shared" si="8"/>
        <v>7</v>
      </c>
      <c r="J12" s="7">
        <f>VLOOKUP($H12,$W$3:$AE$10,3,0)</f>
        <v>1</v>
      </c>
      <c r="K12" s="7">
        <f t="shared" si="10"/>
        <v>6</v>
      </c>
      <c r="L12" s="7">
        <f t="shared" si="11"/>
        <v>0</v>
      </c>
      <c r="M12" s="7">
        <f t="shared" si="12"/>
        <v>2</v>
      </c>
      <c r="N12" s="7">
        <f t="shared" si="13"/>
        <v>215</v>
      </c>
      <c r="O12" s="7">
        <f t="shared" si="14"/>
        <v>390</v>
      </c>
      <c r="P12" s="7">
        <f t="shared" si="15"/>
        <v>-175</v>
      </c>
      <c r="Q12" s="60">
        <f t="shared" si="16"/>
        <v>7.8754578754578766E-2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 s="6" t="str" cm="1">
        <f t="array" ref="H13">INDEX($W$3:$W$10,MATCH(LARGE($AF$3:$AF$10-ROW($AF$3:$AF$10)/COUNT($AF$3:$AF$10),ROW(H13)-ROW(H$6)+1),$AF$3:$AF$10-ROW($AF$3:$AF$10)/COUNT($AF$3:$AF$10),0))</f>
        <v>Ilembe</v>
      </c>
      <c r="I13" s="7">
        <f t="shared" si="8"/>
        <v>7</v>
      </c>
      <c r="J13" s="7">
        <f t="shared" si="9"/>
        <v>0</v>
      </c>
      <c r="K13" s="7">
        <f t="shared" si="10"/>
        <v>7</v>
      </c>
      <c r="L13" s="7">
        <f t="shared" si="11"/>
        <v>0</v>
      </c>
      <c r="M13" s="7">
        <f t="shared" si="12"/>
        <v>0</v>
      </c>
      <c r="N13" s="7">
        <f t="shared" si="13"/>
        <v>206</v>
      </c>
      <c r="O13" s="7">
        <f t="shared" si="14"/>
        <v>348</v>
      </c>
      <c r="P13" s="7">
        <f t="shared" si="15"/>
        <v>-142</v>
      </c>
      <c r="Q13" s="60">
        <f t="shared" si="16"/>
        <v>8.4564860426929386E-2</v>
      </c>
    </row>
    <row r="14" spans="1:33" x14ac:dyDescent="0.3">
      <c r="H14"/>
      <c r="J14" s="3"/>
      <c r="K14" s="3"/>
      <c r="L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2" x14ac:dyDescent="0.3">
      <c r="A17" s="21" t="s">
        <v>106</v>
      </c>
      <c r="B17" s="22" t="s">
        <v>34</v>
      </c>
      <c r="C17" s="23">
        <v>47</v>
      </c>
      <c r="D17" s="23" t="s">
        <v>16</v>
      </c>
      <c r="E17" s="24">
        <v>45</v>
      </c>
      <c r="F17" s="3"/>
      <c r="H17"/>
      <c r="I17"/>
      <c r="J17" s="3"/>
      <c r="K17" s="3"/>
      <c r="L17" s="3"/>
    </row>
    <row r="18" spans="1:12" x14ac:dyDescent="0.3">
      <c r="A18" s="25" t="s">
        <v>31</v>
      </c>
      <c r="B18" s="6" t="s">
        <v>66</v>
      </c>
      <c r="C18" s="7">
        <v>59</v>
      </c>
      <c r="D18" s="7" t="s">
        <v>16</v>
      </c>
      <c r="E18" s="26">
        <v>28</v>
      </c>
      <c r="F18" s="3"/>
      <c r="H18"/>
      <c r="I18"/>
      <c r="J18" s="3"/>
      <c r="K18" s="3"/>
      <c r="L18" s="3"/>
    </row>
    <row r="19" spans="1:12" x14ac:dyDescent="0.3">
      <c r="A19" s="25" t="s">
        <v>64</v>
      </c>
      <c r="B19" s="6" t="s">
        <v>22</v>
      </c>
      <c r="C19" s="7">
        <v>31</v>
      </c>
      <c r="D19" s="7" t="s">
        <v>16</v>
      </c>
      <c r="E19" s="26">
        <v>33</v>
      </c>
      <c r="F19" s="3"/>
    </row>
    <row r="20" spans="1:12" ht="15" thickBot="1" x14ac:dyDescent="0.35">
      <c r="A20" s="27" t="s">
        <v>39</v>
      </c>
      <c r="B20" s="28" t="s">
        <v>32</v>
      </c>
      <c r="C20" s="29">
        <v>66</v>
      </c>
      <c r="D20" s="29" t="s">
        <v>16</v>
      </c>
      <c r="E20" s="30">
        <v>27</v>
      </c>
      <c r="F20" s="3"/>
    </row>
    <row r="21" spans="1:12" x14ac:dyDescent="0.3">
      <c r="F21" s="3"/>
      <c r="H21"/>
      <c r="I21"/>
    </row>
    <row r="22" spans="1:12" x14ac:dyDescent="0.3">
      <c r="F22" s="3"/>
      <c r="H22"/>
      <c r="I22"/>
    </row>
    <row r="23" spans="1:12" ht="15" thickBot="1" x14ac:dyDescent="0.35">
      <c r="A23" s="20" t="s">
        <v>104</v>
      </c>
      <c r="F23" s="3"/>
      <c r="H23"/>
      <c r="I23"/>
    </row>
    <row r="24" spans="1:12" x14ac:dyDescent="0.3">
      <c r="A24" s="21" t="s">
        <v>39</v>
      </c>
      <c r="B24" s="22" t="s">
        <v>66</v>
      </c>
      <c r="C24" s="23">
        <v>87</v>
      </c>
      <c r="D24" s="23" t="str">
        <f>D17</f>
        <v>:</v>
      </c>
      <c r="E24" s="24">
        <v>20</v>
      </c>
      <c r="H24"/>
      <c r="I24"/>
      <c r="J24" s="3"/>
      <c r="K24" s="3"/>
      <c r="L24" s="3"/>
    </row>
    <row r="25" spans="1:12" x14ac:dyDescent="0.3">
      <c r="A25" s="25" t="s">
        <v>34</v>
      </c>
      <c r="B25" s="6" t="s">
        <v>31</v>
      </c>
      <c r="C25" s="7">
        <v>51</v>
      </c>
      <c r="D25" s="7" t="str">
        <f>D18</f>
        <v>:</v>
      </c>
      <c r="E25" s="26">
        <v>34</v>
      </c>
      <c r="H25"/>
      <c r="I25"/>
      <c r="J25" s="3"/>
      <c r="K25" s="3"/>
      <c r="L25" s="3"/>
    </row>
    <row r="26" spans="1:12" x14ac:dyDescent="0.3">
      <c r="A26" s="25" t="s">
        <v>22</v>
      </c>
      <c r="B26" s="6" t="s">
        <v>106</v>
      </c>
      <c r="C26" s="7">
        <v>44</v>
      </c>
      <c r="D26" s="7" t="str">
        <f>D19</f>
        <v>:</v>
      </c>
      <c r="E26" s="26">
        <v>51</v>
      </c>
    </row>
    <row r="27" spans="1:12" x14ac:dyDescent="0.3">
      <c r="A27" s="25" t="s">
        <v>64</v>
      </c>
      <c r="B27" s="6" t="s">
        <v>32</v>
      </c>
      <c r="C27" s="7">
        <v>44</v>
      </c>
      <c r="D27" s="7" t="str">
        <f t="shared" ref="D27" si="20">D20</f>
        <v>:</v>
      </c>
      <c r="E27" s="26">
        <v>38</v>
      </c>
    </row>
    <row r="28" spans="1:12" x14ac:dyDescent="0.3">
      <c r="A28" s="25" t="s">
        <v>106</v>
      </c>
      <c r="B28" s="6" t="s">
        <v>66</v>
      </c>
      <c r="C28" s="7">
        <v>69</v>
      </c>
      <c r="D28" s="7" t="s">
        <v>16</v>
      </c>
      <c r="E28" s="26">
        <v>33</v>
      </c>
    </row>
    <row r="29" spans="1:12" ht="15" thickBot="1" x14ac:dyDescent="0.35">
      <c r="A29" s="27" t="s">
        <v>31</v>
      </c>
      <c r="B29" s="28" t="s">
        <v>32</v>
      </c>
      <c r="C29" s="29">
        <v>59</v>
      </c>
      <c r="D29" s="29" t="s">
        <v>16</v>
      </c>
      <c r="E29" s="30">
        <v>23</v>
      </c>
    </row>
    <row r="30" spans="1:12" x14ac:dyDescent="0.3">
      <c r="C30" s="3"/>
      <c r="D30" s="3"/>
      <c r="E30" s="3"/>
    </row>
    <row r="32" spans="1:12" ht="15" thickBot="1" x14ac:dyDescent="0.35">
      <c r="A32" s="20" t="s">
        <v>141</v>
      </c>
    </row>
    <row r="33" spans="1:12" x14ac:dyDescent="0.3">
      <c r="A33" s="21" t="s">
        <v>39</v>
      </c>
      <c r="B33" s="22" t="s">
        <v>106</v>
      </c>
      <c r="C33" s="23">
        <v>71</v>
      </c>
      <c r="D33" s="23" t="s">
        <v>16</v>
      </c>
      <c r="E33" s="24">
        <v>48</v>
      </c>
      <c r="H33"/>
      <c r="I33"/>
      <c r="J33" s="3"/>
      <c r="K33" s="3"/>
      <c r="L33" s="3"/>
    </row>
    <row r="34" spans="1:12" x14ac:dyDescent="0.3">
      <c r="A34" s="25" t="s">
        <v>34</v>
      </c>
      <c r="B34" s="6" t="s">
        <v>32</v>
      </c>
      <c r="C34" s="7">
        <v>55</v>
      </c>
      <c r="D34" s="7" t="s">
        <v>16</v>
      </c>
      <c r="E34" s="26">
        <v>34</v>
      </c>
      <c r="H34"/>
      <c r="I34"/>
      <c r="J34" s="3"/>
      <c r="K34" s="3"/>
      <c r="L34" s="3"/>
    </row>
    <row r="35" spans="1:12" x14ac:dyDescent="0.3">
      <c r="A35" s="25" t="s">
        <v>66</v>
      </c>
      <c r="B35" s="6" t="s">
        <v>64</v>
      </c>
      <c r="C35" s="7">
        <v>33</v>
      </c>
      <c r="D35" s="7" t="s">
        <v>16</v>
      </c>
      <c r="E35" s="26">
        <v>54</v>
      </c>
    </row>
    <row r="36" spans="1:12" x14ac:dyDescent="0.3">
      <c r="A36" s="25" t="s">
        <v>39</v>
      </c>
      <c r="B36" s="6" t="s">
        <v>34</v>
      </c>
      <c r="C36" s="7">
        <v>74</v>
      </c>
      <c r="D36" s="7" t="s">
        <v>16</v>
      </c>
      <c r="E36" s="26">
        <v>31</v>
      </c>
    </row>
    <row r="37" spans="1:12" x14ac:dyDescent="0.3">
      <c r="A37" s="25" t="s">
        <v>64</v>
      </c>
      <c r="B37" s="6" t="s">
        <v>31</v>
      </c>
      <c r="C37" s="7">
        <v>23</v>
      </c>
      <c r="D37" s="7" t="s">
        <v>16</v>
      </c>
      <c r="E37" s="26">
        <v>33</v>
      </c>
    </row>
    <row r="38" spans="1:12" x14ac:dyDescent="0.3">
      <c r="A38" s="25" t="s">
        <v>22</v>
      </c>
      <c r="B38" s="6" t="s">
        <v>66</v>
      </c>
      <c r="C38" s="7">
        <v>46</v>
      </c>
      <c r="D38" s="7" t="s">
        <v>16</v>
      </c>
      <c r="E38" s="26">
        <v>33</v>
      </c>
    </row>
    <row r="39" spans="1:12" x14ac:dyDescent="0.3">
      <c r="A39" s="25" t="s">
        <v>32</v>
      </c>
      <c r="B39" s="6" t="s">
        <v>106</v>
      </c>
      <c r="C39" s="7">
        <v>34</v>
      </c>
      <c r="D39" s="7" t="s">
        <v>16</v>
      </c>
      <c r="E39" s="26">
        <v>61</v>
      </c>
    </row>
    <row r="40" spans="1:12" x14ac:dyDescent="0.3">
      <c r="A40" s="25" t="s">
        <v>22</v>
      </c>
      <c r="B40" s="6" t="s">
        <v>31</v>
      </c>
      <c r="C40" s="7">
        <v>42</v>
      </c>
      <c r="D40" s="7" t="s">
        <v>16</v>
      </c>
      <c r="E40" s="26">
        <v>50</v>
      </c>
    </row>
    <row r="41" spans="1:12" x14ac:dyDescent="0.3">
      <c r="A41" s="25" t="s">
        <v>34</v>
      </c>
      <c r="B41" s="6" t="s">
        <v>22</v>
      </c>
      <c r="C41" s="79"/>
      <c r="D41" s="79"/>
      <c r="E41" s="80"/>
      <c r="F41" s="63" t="s">
        <v>143</v>
      </c>
    </row>
    <row r="42" spans="1:12" ht="15" thickBot="1" x14ac:dyDescent="0.35">
      <c r="A42" s="27" t="s">
        <v>39</v>
      </c>
      <c r="B42" s="28" t="s">
        <v>64</v>
      </c>
      <c r="C42" s="29">
        <v>46</v>
      </c>
      <c r="D42" s="29" t="s">
        <v>16</v>
      </c>
      <c r="E42" s="30">
        <v>17</v>
      </c>
    </row>
    <row r="45" spans="1:12" ht="15" thickBot="1" x14ac:dyDescent="0.35">
      <c r="A45" s="20" t="s">
        <v>145</v>
      </c>
    </row>
    <row r="46" spans="1:12" x14ac:dyDescent="0.3">
      <c r="A46" s="21" t="s">
        <v>39</v>
      </c>
      <c r="B46" s="22" t="s">
        <v>22</v>
      </c>
      <c r="C46" s="23">
        <v>61</v>
      </c>
      <c r="D46" s="23" t="s">
        <v>16</v>
      </c>
      <c r="E46" s="24">
        <v>32</v>
      </c>
    </row>
    <row r="47" spans="1:12" x14ac:dyDescent="0.3">
      <c r="A47" s="25" t="s">
        <v>34</v>
      </c>
      <c r="B47" s="6" t="s">
        <v>64</v>
      </c>
      <c r="C47" s="7">
        <v>35</v>
      </c>
      <c r="D47" s="7" t="s">
        <v>16</v>
      </c>
      <c r="E47" s="26">
        <v>41</v>
      </c>
    </row>
    <row r="48" spans="1:12" x14ac:dyDescent="0.3">
      <c r="A48" s="25" t="s">
        <v>106</v>
      </c>
      <c r="B48" s="6" t="s">
        <v>31</v>
      </c>
      <c r="C48" s="7">
        <v>48</v>
      </c>
      <c r="D48" s="7" t="s">
        <v>16</v>
      </c>
      <c r="E48" s="26">
        <v>35</v>
      </c>
    </row>
    <row r="49" spans="1:12" x14ac:dyDescent="0.3">
      <c r="A49" s="25" t="s">
        <v>66</v>
      </c>
      <c r="B49" s="6" t="s">
        <v>32</v>
      </c>
      <c r="C49" s="7">
        <v>29</v>
      </c>
      <c r="D49" s="7" t="s">
        <v>16</v>
      </c>
      <c r="E49" s="26">
        <v>23</v>
      </c>
    </row>
    <row r="50" spans="1:12" x14ac:dyDescent="0.3">
      <c r="A50" s="25" t="s">
        <v>39</v>
      </c>
      <c r="B50" s="6" t="s">
        <v>31</v>
      </c>
      <c r="C50" s="6">
        <v>57</v>
      </c>
      <c r="D50" s="7" t="s">
        <v>16</v>
      </c>
      <c r="E50" s="91">
        <v>29</v>
      </c>
    </row>
    <row r="51" spans="1:12" x14ac:dyDescent="0.3">
      <c r="A51" s="25" t="s">
        <v>66</v>
      </c>
      <c r="B51" s="6" t="s">
        <v>34</v>
      </c>
      <c r="C51" s="6">
        <v>39</v>
      </c>
      <c r="D51" s="7" t="s">
        <v>16</v>
      </c>
      <c r="E51" s="91">
        <v>52</v>
      </c>
      <c r="H51" s="41"/>
      <c r="I51"/>
    </row>
    <row r="52" spans="1:12" x14ac:dyDescent="0.3">
      <c r="A52" s="25" t="s">
        <v>106</v>
      </c>
      <c r="B52" s="6" t="s">
        <v>64</v>
      </c>
      <c r="C52" s="6">
        <v>50</v>
      </c>
      <c r="D52" s="7" t="s">
        <v>16</v>
      </c>
      <c r="E52" s="91">
        <v>32</v>
      </c>
      <c r="G52" s="42"/>
      <c r="H52"/>
      <c r="I52"/>
      <c r="J52" s="3"/>
      <c r="K52" s="3"/>
      <c r="L52" s="3"/>
    </row>
    <row r="53" spans="1:12" ht="15" thickBot="1" x14ac:dyDescent="0.35">
      <c r="A53" s="27" t="s">
        <v>32</v>
      </c>
      <c r="B53" s="28" t="s">
        <v>22</v>
      </c>
      <c r="C53" s="28">
        <v>27</v>
      </c>
      <c r="D53" s="28" t="s">
        <v>16</v>
      </c>
      <c r="E53" s="90">
        <v>34</v>
      </c>
      <c r="H53"/>
      <c r="I53"/>
      <c r="J53" s="3"/>
      <c r="K53" s="3"/>
      <c r="L53" s="3"/>
    </row>
    <row r="54" spans="1:12" x14ac:dyDescent="0.3">
      <c r="H54"/>
      <c r="I54"/>
      <c r="J54" s="3"/>
      <c r="K54" s="3"/>
      <c r="L54" s="3"/>
    </row>
    <row r="55" spans="1:12" x14ac:dyDescent="0.3">
      <c r="H55"/>
      <c r="I55"/>
      <c r="J55" s="3"/>
      <c r="K55" s="3"/>
      <c r="L55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06488-B68E-4294-A4B7-93659B3B8CCC}">
  <sheetPr codeName="Sheet18">
    <tabColor rgb="FF92D050"/>
  </sheetPr>
  <dimension ref="A1:AG39"/>
  <sheetViews>
    <sheetView workbookViewId="0">
      <selection activeCell="H10" sqref="H10"/>
    </sheetView>
  </sheetViews>
  <sheetFormatPr defaultRowHeight="14.4" x14ac:dyDescent="0.3"/>
  <cols>
    <col min="1" max="1" width="31.6640625" bestFit="1" customWidth="1"/>
    <col min="2" max="2" width="10.55468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1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1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8" width="3.109375" hidden="1" customWidth="1"/>
    <col min="29" max="29" width="3.33203125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43" t="s">
        <v>99</v>
      </c>
    </row>
    <row r="2" spans="1:33" x14ac:dyDescent="0.3">
      <c r="B2" t="s">
        <v>70</v>
      </c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Buffalo City</v>
      </c>
      <c r="X3" s="2" cm="1">
        <f t="array" ref="X3">SUM(($A$17:$A$613=W3)*(ISNUMBER($C$17:$C$613)),($B$17:$B$613=W3)*(ISNUMBER($E$17:$E$613)))</f>
        <v>4</v>
      </c>
      <c r="Y3" s="3" cm="1">
        <f t="array" ref="Y3">SUMPRODUCT(($A$17:$A$613=W3)*($C$17:$C$613&gt;$E$17:$E$613)) +
 SUMPRODUCT(($B$17:$B$613=W3)*($E$17:$E$613&gt;$C$17:$C$613))</f>
        <v>4</v>
      </c>
      <c r="Z3" s="3" cm="1">
        <f t="array" ref="Z3">SUM(($A$17:$A$613=W3)*($C$17:$C$613=$E$17:$E$613)*ISNUMBER($E$17:$E$613),($B$17:$B$613=W3)*($E$17:$E$613=$C$17:$C$613)*ISNUMBER($C$17:$C$613))</f>
        <v>0</v>
      </c>
      <c r="AA3" s="3" cm="1">
        <f t="array" ref="AA3">SUM(($A$17:$A$613=W3)*($C$17:$C$613&lt;$E$17:$E$613),($B$17:$B$613=W3)*($E$17:$E$613&lt;$C$17:$C$613))</f>
        <v>0</v>
      </c>
      <c r="AB3" s="4">
        <f>SUMIF($A$17:$A$613,W3,$C$17:$C$613)+SUMIF($B$17:$B$613,W3,$E$17:$E$613)</f>
        <v>199</v>
      </c>
      <c r="AC3" s="5">
        <f>SUMIF($A$17:$A$613,W3,$E$17:$E$613)+SUMIF($B$17:$B$613,W3,$C$17:$C$613)</f>
        <v>133</v>
      </c>
      <c r="AD3" s="3">
        <f>AB3-AC3</f>
        <v>66</v>
      </c>
      <c r="AE3" s="4">
        <f>Y3*Points!$B$2+Z3*Points!$B$3+B4</f>
        <v>8</v>
      </c>
      <c r="AF3">
        <f>AB3+AD3*10000+AE3*100000000</f>
        <v>800660199</v>
      </c>
      <c r="AG3">
        <f>AB3/AC3/X3</f>
        <v>0.37406015037593987</v>
      </c>
    </row>
    <row r="4" spans="1:33" ht="28.8" x14ac:dyDescent="0.55000000000000004">
      <c r="A4" s="6" t="s">
        <v>38</v>
      </c>
      <c r="H4" s="117" t="s">
        <v>99</v>
      </c>
      <c r="I4" s="118"/>
      <c r="J4" s="118"/>
      <c r="K4" s="118"/>
      <c r="L4" s="118"/>
      <c r="M4" s="118"/>
      <c r="N4" s="118"/>
      <c r="O4" s="118"/>
      <c r="P4" s="118"/>
      <c r="Q4" s="118"/>
      <c r="W4" s="1" t="str">
        <f>A5</f>
        <v>Sedibeng</v>
      </c>
      <c r="X4" s="2" cm="1">
        <f t="array" ref="X4">SUM(($A$17:$A$613=W4)*(ISNUMBER($C$17:$C$613)),($B$17:$B$613=W4)*(ISNUMBER($E$17:$E$613)))</f>
        <v>4</v>
      </c>
      <c r="Y4" s="3" cm="1">
        <f t="array" ref="Y4">SUMPRODUCT(($A$17:$A$613=W4)*($C$17:$C$613&gt;$E$17:$E$613)) +
 SUMPRODUCT(($B$17:$B$613=W4)*($E$17:$E$613&gt;$C$17:$C$613))</f>
        <v>2</v>
      </c>
      <c r="Z4" s="3" cm="1">
        <f t="array" ref="Z4">SUM(($A$17:$A$613=W4)*($C$17:$C$613=$E$17:$E$613)*ISNUMBER($E$17:$E$613),($B$17:$B$613=W4)*($E$17:$E$613=$C$17:$C$613)*ISNUMBER($C$17:$C$613))</f>
        <v>0</v>
      </c>
      <c r="AA4" s="3" cm="1">
        <f t="array" ref="AA4">SUM(($A$17:$A$613=W4)*($C$17:$C$613&lt;$E$17:$E$613),($B$17:$B$613=W4)*($E$17:$E$613&lt;$C$17:$C$613))</f>
        <v>2</v>
      </c>
      <c r="AB4" s="4">
        <f>SUMIF($A$17:$A$613,W4,$C$17:$C$613)+SUMIF($B$17:$B$613,W4,$E$17:$E$613)</f>
        <v>193</v>
      </c>
      <c r="AC4" s="5">
        <f>SUMIF($A$17:$A$613,W4,$E$17:$E$613)+SUMIF($B$17:$B$613,W4,$C$17:$C$613)</f>
        <v>163</v>
      </c>
      <c r="AD4" s="3">
        <f t="shared" ref="AD4" si="0">AB4-AC4</f>
        <v>30</v>
      </c>
      <c r="AE4" s="4">
        <f>Y4*Points!$B$2+Z4*Points!$B$3+B5</f>
        <v>4</v>
      </c>
      <c r="AF4">
        <f t="shared" ref="AF4" si="1">AB4+AD4*10000+AE4*100000000</f>
        <v>400300193</v>
      </c>
      <c r="AG4">
        <f t="shared" ref="AG4:AG7" si="2">AB4/AC4/X4</f>
        <v>0.29601226993865032</v>
      </c>
    </row>
    <row r="5" spans="1:33" x14ac:dyDescent="0.3">
      <c r="A5" s="6" t="s">
        <v>43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Nkangala A</v>
      </c>
      <c r="X5" s="2" cm="1">
        <f t="array" ref="X5">SUM(($A$17:$A$613=W5)*(ISNUMBER($C$17:$C$613)),($B$17:$B$613=W5)*(ISNUMBER($E$17:$E$613)))</f>
        <v>4</v>
      </c>
      <c r="Y5" s="3" cm="1">
        <f t="array" ref="Y5">SUMPRODUCT(($A$17:$A$613=W5)*($C$17:$C$613&gt;$E$17:$E$613)) +
 SUMPRODUCT(($B$17:$B$613=W5)*($E$17:$E$613&gt;$C$17:$C$613))</f>
        <v>0</v>
      </c>
      <c r="Z5" s="3" cm="1">
        <f t="array" ref="Z5">SUM(($A$17:$A$613=W5)*($C$17:$C$613=$E$17:$E$613)*ISNUMBER($E$17:$E$613),($B$17:$B$613=W5)*($E$17:$E$613=$C$17:$C$613)*ISNUMBER($C$17:$C$613))</f>
        <v>0</v>
      </c>
      <c r="AA5" s="3" cm="1">
        <f t="array" ref="AA5">SUM(($A$17:$A$613=W5)*($C$17:$C$613&lt;$E$17:$E$613),($B$17:$B$613=W5)*($E$17:$E$613&lt;$C$17:$C$613))</f>
        <v>4</v>
      </c>
      <c r="AB5" s="4">
        <f>SUMIF($A$17:$A$613,W5,$C$17:$C$613)+SUMIF($B$17:$B$613,W5,$E$17:$E$613)</f>
        <v>145</v>
      </c>
      <c r="AC5" s="5">
        <f>SUMIF($A$17:$A$613,W5,$E$17:$E$613)+SUMIF($B$17:$B$613,W5,$C$17:$C$613)</f>
        <v>211</v>
      </c>
      <c r="AD5" s="3">
        <f>AB5-AC5</f>
        <v>-66</v>
      </c>
      <c r="AE5" s="4">
        <f>Y5*Points!$B$2+Z5*Points!$B$3+B6</f>
        <v>0</v>
      </c>
      <c r="AF5">
        <f>AB5+AD5*10000+AE5*100000000</f>
        <v>-659855</v>
      </c>
      <c r="AG5">
        <f t="shared" si="2"/>
        <v>0.17180094786729858</v>
      </c>
    </row>
    <row r="6" spans="1:33" x14ac:dyDescent="0.3">
      <c r="A6" s="6" t="s">
        <v>30</v>
      </c>
      <c r="H6" s="6" t="str" cm="1">
        <f t="array" ref="H6">INDEX($W$3:$W$7,MATCH(LARGE($AF$3:$AF$7-ROW($AF$3:$AF$7)/COUNT($AF$3:$AF$7),ROW(H6)-ROW(H$6)+1),$AF$3:$AF$7-ROW($AF$3:$AF$7)/COUNT($AF$3:$AF$7),0))</f>
        <v>Buffalo City</v>
      </c>
      <c r="I6" s="7">
        <f>VLOOKUP($H6,$W$3:$AE$8,2,0)</f>
        <v>4</v>
      </c>
      <c r="J6" s="7">
        <f>VLOOKUP($H6,$W$3:$AE$8,3,0)</f>
        <v>4</v>
      </c>
      <c r="K6" s="7">
        <f>VLOOKUP($H6,$W$3:$AE$8,5,0)</f>
        <v>0</v>
      </c>
      <c r="L6" s="7">
        <f>VLOOKUP($H6,$W$3:$AE$8,4,0)</f>
        <v>0</v>
      </c>
      <c r="M6" s="7">
        <f>VLOOKUP($H6,$W$3:$AE$8,9,0)</f>
        <v>8</v>
      </c>
      <c r="N6" s="7">
        <f>VLOOKUP($H6,$W$3:$AE$8,6,0)</f>
        <v>199</v>
      </c>
      <c r="O6" s="7">
        <f>VLOOKUP($H6,$W$3:$AE$8,7,0)</f>
        <v>133</v>
      </c>
      <c r="P6" s="7">
        <f>VLOOKUP($H6,$W$3:$AE$8,8,0)</f>
        <v>66</v>
      </c>
      <c r="Q6" s="60">
        <f>VLOOKUP($H6,$W$3:$AG$7,11,0)</f>
        <v>0.37406015037593987</v>
      </c>
      <c r="W6" s="1" t="str">
        <f t="shared" ref="W6:W7" si="3">A7</f>
        <v>OR Tambo</v>
      </c>
      <c r="X6" s="2" cm="1">
        <f t="array" ref="X6">SUM(($A$17:$A$613=W6)*(ISNUMBER($C$17:$C$613)),($B$17:$B$613=W6)*(ISNUMBER($E$17:$E$613)))</f>
        <v>4</v>
      </c>
      <c r="Y6" s="3" cm="1">
        <f t="array" ref="Y6">SUMPRODUCT(($A$17:$A$613=W6)*($C$17:$C$613&gt;$E$17:$E$613)) +
 SUMPRODUCT(($B$17:$B$613=W6)*($E$17:$E$613&gt;$C$17:$C$613))</f>
        <v>1</v>
      </c>
      <c r="Z6" s="3" cm="1">
        <f t="array" ref="Z6">SUM(($A$17:$A$613=W6)*($C$17:$C$613=$E$17:$E$613)*ISNUMBER($E$17:$E$613),($B$17:$B$613=W6)*($E$17:$E$613=$C$17:$C$613)*ISNUMBER($C$17:$C$613))</f>
        <v>0</v>
      </c>
      <c r="AA6" s="3" cm="1">
        <f t="array" ref="AA6">SUM(($A$17:$A$613=W6)*($C$17:$C$613&lt;$E$17:$E$613),($B$17:$B$613=W6)*($E$17:$E$613&lt;$C$17:$C$613))</f>
        <v>3</v>
      </c>
      <c r="AB6" s="4">
        <f>SUMIF($A$17:$A$613,W6,$C$17:$C$613)+SUMIF($B$17:$B$613,W6,$E$17:$E$613)</f>
        <v>146</v>
      </c>
      <c r="AC6" s="5">
        <f>SUMIF($A$17:$A$613,W6,$E$17:$E$613)+SUMIF($B$17:$B$613,W6,$C$17:$C$613)</f>
        <v>187</v>
      </c>
      <c r="AD6" s="3">
        <f t="shared" ref="AD6:AD7" si="4">AB6-AC6</f>
        <v>-41</v>
      </c>
      <c r="AE6" s="4">
        <f>Y6*Points!$B$2+Z6*Points!$B$3+B7</f>
        <v>2</v>
      </c>
      <c r="AF6">
        <f t="shared" ref="AF6:AF7" si="5">AB6+AD6*10000+AE6*100000000</f>
        <v>199590146</v>
      </c>
      <c r="AG6">
        <f t="shared" si="2"/>
        <v>0.19518716577540107</v>
      </c>
    </row>
    <row r="7" spans="1:33" x14ac:dyDescent="0.3">
      <c r="A7" s="6" t="s">
        <v>45</v>
      </c>
      <c r="H7" s="6" t="str" cm="1">
        <f t="array" ref="H7">INDEX($W$3:$W$7,MATCH(LARGE($AF$3:$AF$7-ROW($AF$3:$AF$7)/COUNT($AF$3:$AF$7),ROW(H7)-ROW(H$6)+1),$AF$3:$AF$7-ROW($AF$3:$AF$7)/COUNT($AF$3:$AF$7),0))</f>
        <v>Harry Gwala</v>
      </c>
      <c r="I7" s="7">
        <f t="shared" ref="I7:I10" si="6">VLOOKUP($H7,$W$3:$AE$8,2,0)</f>
        <v>4</v>
      </c>
      <c r="J7" s="7">
        <f t="shared" ref="J7:J10" si="7">VLOOKUP($H7,$W$3:$AE$8,3,0)</f>
        <v>3</v>
      </c>
      <c r="K7" s="7">
        <f>VLOOKUP($H7,$W$3:$AE$8,5,0)</f>
        <v>1</v>
      </c>
      <c r="L7" s="7">
        <f t="shared" ref="L7:L10" si="8">VLOOKUP($H7,$W$3:$AE$8,4,0)</f>
        <v>0</v>
      </c>
      <c r="M7" s="7">
        <f t="shared" ref="M7:M10" si="9">VLOOKUP($H7,$W$3:$AE$8,9,0)</f>
        <v>6</v>
      </c>
      <c r="N7" s="7">
        <f t="shared" ref="N7:N10" si="10">VLOOKUP($H7,$W$3:$AE$8,6,0)</f>
        <v>208</v>
      </c>
      <c r="O7" s="7">
        <f t="shared" ref="O7:O10" si="11">VLOOKUP($H7,$W$3:$AE$8,7,0)</f>
        <v>197</v>
      </c>
      <c r="P7" s="7">
        <f t="shared" ref="P7:P10" si="12">VLOOKUP($H7,$W$3:$AE$8,8,0)</f>
        <v>11</v>
      </c>
      <c r="Q7" s="60">
        <f t="shared" ref="Q7:Q10" si="13">VLOOKUP($H7,$W$3:$AG$7,11,0)</f>
        <v>0.26395939086294418</v>
      </c>
      <c r="W7" s="1" t="str">
        <f t="shared" si="3"/>
        <v>Harry Gwala</v>
      </c>
      <c r="X7" s="2" cm="1">
        <f t="array" ref="X7">SUM(($A$17:$A$613=W7)*(ISNUMBER($C$17:$C$613)),($B$17:$B$613=W7)*(ISNUMBER($E$17:$E$613)))</f>
        <v>4</v>
      </c>
      <c r="Y7" s="3" cm="1">
        <f t="array" ref="Y7">SUMPRODUCT(($A$17:$A$613=W7)*($C$17:$C$613&gt;$E$17:$E$613)) +
 SUMPRODUCT(($B$17:$B$613=W7)*($E$17:$E$613&gt;$C$17:$C$613))</f>
        <v>3</v>
      </c>
      <c r="Z7" s="3" cm="1">
        <f t="array" ref="Z7">SUM(($A$17:$A$613=W7)*($C$17:$C$613=$E$17:$E$613)*ISNUMBER($E$17:$E$613),($B$17:$B$613=W7)*($E$17:$E$613=$C$17:$C$613)*ISNUMBER($C$17:$C$613))</f>
        <v>0</v>
      </c>
      <c r="AA7" s="3" cm="1">
        <f t="array" ref="AA7">SUM(($A$17:$A$613=W7)*($C$17:$C$613&lt;$E$17:$E$613),($B$17:$B$613=W7)*($E$17:$E$613&lt;$C$17:$C$613))</f>
        <v>1</v>
      </c>
      <c r="AB7" s="4">
        <f>SUMIF($A$17:$A$613,W7,$C$17:$C$613)+SUMIF($B$17:$B$613,W7,$E$17:$E$613)</f>
        <v>208</v>
      </c>
      <c r="AC7" s="5">
        <f>SUMIF($A$17:$A$613,W7,$E$17:$E$613)+SUMIF($B$17:$B$613,W7,$C$17:$C$613)</f>
        <v>197</v>
      </c>
      <c r="AD7" s="3">
        <f t="shared" si="4"/>
        <v>11</v>
      </c>
      <c r="AE7" s="4">
        <f>Y7*Points!$B$2+Z7*Points!$B$3+B8</f>
        <v>6</v>
      </c>
      <c r="AF7">
        <f t="shared" si="5"/>
        <v>600110208</v>
      </c>
      <c r="AG7">
        <f t="shared" si="2"/>
        <v>0.26395939086294418</v>
      </c>
    </row>
    <row r="8" spans="1:33" x14ac:dyDescent="0.3">
      <c r="A8" s="6" t="s">
        <v>74</v>
      </c>
      <c r="H8" s="6" t="str" cm="1">
        <f t="array" ref="H8">INDEX($W$3:$W$7,MATCH(LARGE($AF$3:$AF$7-ROW($AF$3:$AF$7)/COUNT($AF$3:$AF$7),ROW(H8)-ROW(H$6)+1),$AF$3:$AF$7-ROW($AF$3:$AF$7)/COUNT($AF$3:$AF$7),0))</f>
        <v>Sedibeng</v>
      </c>
      <c r="I8" s="7">
        <f t="shared" si="6"/>
        <v>4</v>
      </c>
      <c r="J8" s="7">
        <f t="shared" si="7"/>
        <v>2</v>
      </c>
      <c r="K8" s="7">
        <f>VLOOKUP($H8,$W$3:$AE$8,5,0)</f>
        <v>2</v>
      </c>
      <c r="L8" s="7">
        <f t="shared" si="8"/>
        <v>0</v>
      </c>
      <c r="M8" s="7">
        <f t="shared" si="9"/>
        <v>4</v>
      </c>
      <c r="N8" s="7">
        <f t="shared" si="10"/>
        <v>193</v>
      </c>
      <c r="O8" s="7">
        <f t="shared" si="11"/>
        <v>163</v>
      </c>
      <c r="P8" s="7">
        <f t="shared" si="12"/>
        <v>30</v>
      </c>
      <c r="Q8" s="60">
        <f t="shared" si="13"/>
        <v>0.29601226993865032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H9" s="6" t="str" cm="1">
        <f t="array" ref="H9">INDEX($W$3:$W$7,MATCH(LARGE($AF$3:$AF$7-ROW($AF$3:$AF$7)/COUNT($AF$3:$AF$7),ROW(H9)-ROW(H$6)+1),$AF$3:$AF$7-ROW($AF$3:$AF$7)/COUNT($AF$3:$AF$7),0))</f>
        <v>OR Tambo</v>
      </c>
      <c r="I9" s="7">
        <f t="shared" si="6"/>
        <v>4</v>
      </c>
      <c r="J9" s="7">
        <f t="shared" si="7"/>
        <v>1</v>
      </c>
      <c r="K9" s="7">
        <f>VLOOKUP($H9,$W$3:$AE$8,5,0)</f>
        <v>3</v>
      </c>
      <c r="L9" s="7">
        <f t="shared" si="8"/>
        <v>0</v>
      </c>
      <c r="M9" s="7">
        <f t="shared" si="9"/>
        <v>2</v>
      </c>
      <c r="N9" s="7">
        <f t="shared" si="10"/>
        <v>146</v>
      </c>
      <c r="O9" s="7">
        <f t="shared" si="11"/>
        <v>187</v>
      </c>
      <c r="P9" s="7">
        <f t="shared" si="12"/>
        <v>-41</v>
      </c>
      <c r="Q9" s="60">
        <f t="shared" si="13"/>
        <v>0.19518716577540107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 s="6" t="str" cm="1">
        <f t="array" ref="H10">INDEX($W$3:$W$7,MATCH(LARGE($AF$3:$AF$7-ROW($AF$3:$AF$7)/COUNT($AF$3:$AF$7),ROW(H10)-ROW(H$6)+1),$AF$3:$AF$7-ROW($AF$3:$AF$7)/COUNT($AF$3:$AF$7),0))</f>
        <v>Nkangala A</v>
      </c>
      <c r="I10" s="7">
        <f t="shared" si="6"/>
        <v>4</v>
      </c>
      <c r="J10" s="7">
        <f t="shared" si="7"/>
        <v>0</v>
      </c>
      <c r="K10" s="7">
        <f>VLOOKUP($H10,$W$3:$AE$8,5,0)</f>
        <v>4</v>
      </c>
      <c r="L10" s="7">
        <f t="shared" si="8"/>
        <v>0</v>
      </c>
      <c r="M10" s="7">
        <f t="shared" si="9"/>
        <v>0</v>
      </c>
      <c r="N10" s="7">
        <f t="shared" si="10"/>
        <v>145</v>
      </c>
      <c r="O10" s="7">
        <f t="shared" si="11"/>
        <v>211</v>
      </c>
      <c r="P10" s="7">
        <f t="shared" si="12"/>
        <v>-66</v>
      </c>
      <c r="Q10" s="60">
        <f t="shared" si="13"/>
        <v>0.17180094786729858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/>
      <c r="J11" s="3"/>
      <c r="L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A12" s="49" t="s">
        <v>75</v>
      </c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2" x14ac:dyDescent="0.3">
      <c r="A17" s="21" t="s">
        <v>38</v>
      </c>
      <c r="B17" s="22" t="s">
        <v>43</v>
      </c>
      <c r="C17" s="23">
        <v>42</v>
      </c>
      <c r="D17" s="23" t="s">
        <v>16</v>
      </c>
      <c r="E17" s="24">
        <v>39</v>
      </c>
      <c r="F17" s="3"/>
      <c r="H17"/>
      <c r="I17"/>
      <c r="J17" s="3"/>
      <c r="K17" s="3"/>
      <c r="L17" s="3"/>
    </row>
    <row r="18" spans="1:12" ht="15" thickBot="1" x14ac:dyDescent="0.35">
      <c r="A18" s="27" t="s">
        <v>30</v>
      </c>
      <c r="B18" s="28" t="s">
        <v>45</v>
      </c>
      <c r="C18" s="29">
        <v>32</v>
      </c>
      <c r="D18" s="29" t="s">
        <v>16</v>
      </c>
      <c r="E18" s="30">
        <v>43</v>
      </c>
      <c r="F18" s="3"/>
      <c r="H18"/>
      <c r="I18"/>
      <c r="J18" s="3"/>
      <c r="K18" s="3"/>
      <c r="L18" s="3"/>
    </row>
    <row r="19" spans="1:12" x14ac:dyDescent="0.3">
      <c r="F19" s="3"/>
      <c r="H19"/>
      <c r="I19"/>
    </row>
    <row r="20" spans="1:12" x14ac:dyDescent="0.3">
      <c r="F20" s="3"/>
      <c r="H20"/>
      <c r="I20"/>
    </row>
    <row r="21" spans="1:12" ht="15" thickBot="1" x14ac:dyDescent="0.35">
      <c r="A21" s="20" t="s">
        <v>104</v>
      </c>
      <c r="F21" s="3"/>
      <c r="H21"/>
      <c r="I21"/>
    </row>
    <row r="22" spans="1:12" x14ac:dyDescent="0.3">
      <c r="A22" s="21" t="s">
        <v>30</v>
      </c>
      <c r="B22" s="22" t="s">
        <v>38</v>
      </c>
      <c r="C22" s="23">
        <v>28</v>
      </c>
      <c r="D22" s="23" t="str">
        <f>D17</f>
        <v>:</v>
      </c>
      <c r="E22" s="24">
        <v>47</v>
      </c>
      <c r="H22"/>
      <c r="I22"/>
      <c r="J22" s="3"/>
      <c r="K22" s="3"/>
      <c r="L22" s="3"/>
    </row>
    <row r="23" spans="1:12" ht="15" thickBot="1" x14ac:dyDescent="0.35">
      <c r="A23" s="27" t="s">
        <v>74</v>
      </c>
      <c r="B23" s="28" t="s">
        <v>45</v>
      </c>
      <c r="C23" s="29">
        <v>56</v>
      </c>
      <c r="D23" s="29" t="str">
        <f>D18</f>
        <v>:</v>
      </c>
      <c r="E23" s="30">
        <v>43</v>
      </c>
      <c r="H23"/>
      <c r="I23"/>
      <c r="J23" s="3"/>
      <c r="K23" s="3"/>
      <c r="L23" s="3"/>
    </row>
    <row r="26" spans="1:12" ht="15" thickBot="1" x14ac:dyDescent="0.35">
      <c r="A26" s="20" t="s">
        <v>141</v>
      </c>
    </row>
    <row r="27" spans="1:12" x14ac:dyDescent="0.3">
      <c r="A27" s="21" t="s">
        <v>38</v>
      </c>
      <c r="B27" s="22" t="s">
        <v>74</v>
      </c>
      <c r="C27" s="23">
        <v>61</v>
      </c>
      <c r="D27" s="23" t="s">
        <v>16</v>
      </c>
      <c r="E27" s="24">
        <v>42</v>
      </c>
      <c r="H27"/>
      <c r="I27"/>
      <c r="J27" s="3"/>
      <c r="K27" s="3"/>
      <c r="L27" s="3"/>
    </row>
    <row r="28" spans="1:12" x14ac:dyDescent="0.3">
      <c r="A28" s="25" t="s">
        <v>45</v>
      </c>
      <c r="B28" s="25" t="s">
        <v>43</v>
      </c>
      <c r="C28" s="7">
        <v>36</v>
      </c>
      <c r="D28" s="7" t="s">
        <v>16</v>
      </c>
      <c r="E28" s="26">
        <v>50</v>
      </c>
    </row>
    <row r="29" spans="1:12" ht="15" thickBot="1" x14ac:dyDescent="0.35">
      <c r="A29" s="27" t="s">
        <v>30</v>
      </c>
      <c r="B29" s="28" t="s">
        <v>74</v>
      </c>
      <c r="C29" s="29">
        <v>47</v>
      </c>
      <c r="D29" s="29" t="s">
        <v>16</v>
      </c>
      <c r="E29" s="30">
        <v>63</v>
      </c>
    </row>
    <row r="32" spans="1:12" ht="15" thickBot="1" x14ac:dyDescent="0.35">
      <c r="A32" s="20" t="s">
        <v>145</v>
      </c>
    </row>
    <row r="33" spans="1:12" x14ac:dyDescent="0.3">
      <c r="A33" s="21" t="s">
        <v>43</v>
      </c>
      <c r="B33" s="22" t="s">
        <v>74</v>
      </c>
      <c r="C33" s="23">
        <v>46</v>
      </c>
      <c r="D33" s="23" t="s">
        <v>16</v>
      </c>
      <c r="E33" s="24">
        <v>47</v>
      </c>
    </row>
    <row r="34" spans="1:12" x14ac:dyDescent="0.3">
      <c r="A34" s="25" t="s">
        <v>38</v>
      </c>
      <c r="B34" s="6" t="s">
        <v>45</v>
      </c>
      <c r="C34" s="7">
        <v>49</v>
      </c>
      <c r="D34" s="7" t="s">
        <v>16</v>
      </c>
      <c r="E34" s="26">
        <v>24</v>
      </c>
    </row>
    <row r="35" spans="1:12" ht="15" thickBot="1" x14ac:dyDescent="0.35">
      <c r="A35" s="27" t="s">
        <v>30</v>
      </c>
      <c r="B35" s="28" t="s">
        <v>43</v>
      </c>
      <c r="C35" s="28">
        <v>38</v>
      </c>
      <c r="D35" s="28" t="s">
        <v>16</v>
      </c>
      <c r="E35" s="90">
        <v>58</v>
      </c>
      <c r="H35" s="41"/>
      <c r="I35"/>
    </row>
    <row r="36" spans="1:12" x14ac:dyDescent="0.3">
      <c r="G36" s="42"/>
      <c r="H36"/>
      <c r="I36"/>
      <c r="J36" s="3"/>
      <c r="K36" s="3"/>
      <c r="L36" s="3"/>
    </row>
    <row r="37" spans="1:12" x14ac:dyDescent="0.3">
      <c r="H37"/>
      <c r="I37"/>
      <c r="J37" s="3"/>
      <c r="K37" s="3"/>
      <c r="L37" s="3"/>
    </row>
    <row r="38" spans="1:12" x14ac:dyDescent="0.3">
      <c r="H38"/>
      <c r="I38"/>
      <c r="J38" s="3"/>
      <c r="K38" s="3"/>
      <c r="L38" s="3"/>
    </row>
    <row r="39" spans="1:12" x14ac:dyDescent="0.3">
      <c r="H39"/>
      <c r="I39"/>
      <c r="J39" s="3"/>
      <c r="K39" s="3"/>
      <c r="L39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36348-CC40-422C-B0D2-38BC71223C1B}">
  <sheetPr codeName="Sheet14">
    <tabColor rgb="FF00B050"/>
  </sheetPr>
  <dimension ref="A1:AG40"/>
  <sheetViews>
    <sheetView workbookViewId="0">
      <selection activeCell="H10" sqref="H10"/>
    </sheetView>
  </sheetViews>
  <sheetFormatPr defaultRowHeight="14.4" x14ac:dyDescent="0.3"/>
  <cols>
    <col min="1" max="1" width="28.88671875" bestFit="1" customWidth="1"/>
    <col min="2" max="2" width="13.777343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3.777343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4.6640625" bestFit="1" customWidth="1"/>
    <col min="17" max="17" width="12" bestFit="1" customWidth="1"/>
    <col min="21" max="21" width="11.44140625" customWidth="1"/>
    <col min="23" max="23" width="13.8867187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40" t="s">
        <v>98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Lejweleputswa</v>
      </c>
      <c r="X3" s="2" cm="1">
        <f t="array" ref="X3">SUM(($A$17:$A$614=W3)*(ISNUMBER($C$17:$C$614)),($B$17:$B$614=W3)*(ISNUMBER($E$17:$E$614)))</f>
        <v>4</v>
      </c>
      <c r="Y3" s="3" cm="1">
        <f t="array" ref="Y3">SUMPRODUCT(($A$17:$A$614=W3)*($C$17:$C$614&gt;$E$17:$E$614)) +
 SUMPRODUCT(($B$17:$B$614=W3)*($E$17:$E$614&gt;$C$17:$C$614))</f>
        <v>0</v>
      </c>
      <c r="Z3" s="3" cm="1">
        <f t="array" ref="Z3">SUM(($A$17:$A$614=W3)*($C$17:$C$614=$E$17:$E$614)*ISNUMBER($E$17:$E$614),($B$17:$B$614=W3)*($E$17:$E$614=$C$17:$C$614)*ISNUMBER($C$17:$C$614))</f>
        <v>1</v>
      </c>
      <c r="AA3" s="3" cm="1">
        <f t="array" ref="AA3">SUM(($A$17:$A$614=W3)*($C$17:$C$614&lt;$E$17:$E$614),($B$17:$B$614=W3)*($E$17:$E$614&lt;$C$17:$C$614))</f>
        <v>3</v>
      </c>
      <c r="AB3" s="4">
        <f>SUMIF($A$17:$A$614,W3,$C$17:$C$614)+SUMIF($B$17:$B$614,W3,$E$17:$E$614)</f>
        <v>105</v>
      </c>
      <c r="AC3" s="5">
        <f>SUMIF($A$17:$A$614,W3,$E$17:$E$614)+SUMIF($B$17:$B$614,W3,$C$17:$C$614)</f>
        <v>217</v>
      </c>
      <c r="AD3" s="3">
        <f>AB3-AC3</f>
        <v>-112</v>
      </c>
      <c r="AE3" s="4">
        <f>Y3*Points!$B$2+Z3*Points!$B$3</f>
        <v>1</v>
      </c>
      <c r="AF3">
        <f>AB3+AD3*10000+AE3*100000000</f>
        <v>98880105</v>
      </c>
      <c r="AG3">
        <f>AB3/AC3/X3</f>
        <v>0.12096774193548387</v>
      </c>
    </row>
    <row r="4" spans="1:33" ht="28.8" x14ac:dyDescent="0.55000000000000004">
      <c r="A4" s="6" t="s">
        <v>21</v>
      </c>
      <c r="H4" s="119" t="s">
        <v>98</v>
      </c>
      <c r="I4" s="120"/>
      <c r="J4" s="120"/>
      <c r="K4" s="120"/>
      <c r="L4" s="120"/>
      <c r="M4" s="120"/>
      <c r="N4" s="120"/>
      <c r="O4" s="120"/>
      <c r="P4" s="120"/>
      <c r="Q4" s="120"/>
      <c r="W4" s="1" t="str">
        <f>A5</f>
        <v>West Rand A</v>
      </c>
      <c r="X4" s="2" cm="1">
        <f t="array" ref="X4">SUM(($A$17:$A$614=W4)*(ISNUMBER($C$17:$C$614)),($B$17:$B$614=W4)*(ISNUMBER($E$17:$E$614)))</f>
        <v>4</v>
      </c>
      <c r="Y4" s="3" cm="1">
        <f t="array" ref="Y4">SUMPRODUCT(($A$17:$A$614=W4)*($C$17:$C$614&gt;$E$17:$E$614)) +
 SUMPRODUCT(($B$17:$B$614=W4)*($E$17:$E$614&gt;$C$17:$C$614))</f>
        <v>3</v>
      </c>
      <c r="Z4" s="3" cm="1">
        <f t="array" ref="Z4">SUM(($A$17:$A$614=W4)*($C$17:$C$614=$E$17:$E$614)*ISNUMBER($E$17:$E$614),($B$17:$B$614=W4)*($E$17:$E$614=$C$17:$C$614)*ISNUMBER($C$17:$C$614))</f>
        <v>0</v>
      </c>
      <c r="AA4" s="3" cm="1">
        <f t="array" ref="AA4">SUM(($A$17:$A$614=W4)*($C$17:$C$614&lt;$E$17:$E$614),($B$17:$B$614=W4)*($E$17:$E$614&lt;$C$17:$C$614))</f>
        <v>1</v>
      </c>
      <c r="AB4" s="4">
        <f>SUMIF($A$17:$A$614,W4,$C$17:$C$614)+SUMIF($B$17:$B$614,W4,$E$17:$E$614)</f>
        <v>220</v>
      </c>
      <c r="AC4" s="5">
        <f>SUMIF($A$17:$A$614,W4,$E$17:$E$614)+SUMIF($B$17:$B$614,W4,$C$17:$C$614)</f>
        <v>134</v>
      </c>
      <c r="AD4" s="3">
        <f t="shared" ref="AD4" si="0">AB4-AC4</f>
        <v>86</v>
      </c>
      <c r="AE4" s="4">
        <f>Y4*Points!$B$2+Z4*Points!$B$3</f>
        <v>6</v>
      </c>
      <c r="AF4">
        <f t="shared" ref="AF4" si="1">AB4+AD4*10000+AE4*100000000</f>
        <v>600860220</v>
      </c>
      <c r="AG4">
        <f t="shared" ref="AG4:AG7" si="2">AB4/AC4/X4</f>
        <v>0.41044776119402987</v>
      </c>
    </row>
    <row r="5" spans="1:33" x14ac:dyDescent="0.3">
      <c r="A5" s="6" t="s">
        <v>24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Waterberg</v>
      </c>
      <c r="X5" s="2" cm="1">
        <f t="array" ref="X5">SUM(($A$17:$A$614=W5)*(ISNUMBER($C$17:$C$614)),($B$17:$B$614=W5)*(ISNUMBER($E$17:$E$614)))</f>
        <v>4</v>
      </c>
      <c r="Y5" s="3" cm="1">
        <f t="array" ref="Y5">SUMPRODUCT(($A$17:$A$614=W5)*($C$17:$C$614&gt;$E$17:$E$614)) +
 SUMPRODUCT(($B$17:$B$614=W5)*($E$17:$E$614&gt;$C$17:$C$614))</f>
        <v>1</v>
      </c>
      <c r="Z5" s="3" cm="1">
        <f t="array" ref="Z5">SUM(($A$17:$A$614=W5)*($C$17:$C$614=$E$17:$E$614)*ISNUMBER($E$17:$E$614),($B$17:$B$614=W5)*($E$17:$E$614=$C$17:$C$614)*ISNUMBER($C$17:$C$614))</f>
        <v>1</v>
      </c>
      <c r="AA5" s="3" cm="1">
        <f t="array" ref="AA5">SUM(($A$17:$A$614=W5)*($C$17:$C$614&lt;$E$17:$E$614),($B$17:$B$614=W5)*($E$17:$E$614&lt;$C$17:$C$614))</f>
        <v>2</v>
      </c>
      <c r="AB5" s="4">
        <f>SUMIF($A$17:$A$614,W5,$C$17:$C$614)+SUMIF($B$17:$B$614,W5,$E$17:$E$614)</f>
        <v>160</v>
      </c>
      <c r="AC5" s="5">
        <f>SUMIF($A$17:$A$614,W5,$E$17:$E$614)+SUMIF($B$17:$B$614,W5,$C$17:$C$614)</f>
        <v>209</v>
      </c>
      <c r="AD5" s="3">
        <f>AB5-AC5</f>
        <v>-49</v>
      </c>
      <c r="AE5" s="4">
        <f>Y5*Points!$B$2+Z5*Points!$B$3</f>
        <v>3</v>
      </c>
      <c r="AF5">
        <f>AB5+AD5*10000+AE5*100000000</f>
        <v>299510160</v>
      </c>
      <c r="AG5">
        <f t="shared" si="2"/>
        <v>0.19138755980861244</v>
      </c>
    </row>
    <row r="6" spans="1:33" x14ac:dyDescent="0.3">
      <c r="A6" s="6" t="s">
        <v>35</v>
      </c>
      <c r="H6" s="6" t="str" cm="1">
        <f t="array" ref="H6">INDEX($W$3:$W$7,MATCH(LARGE($AF$3:$AF$7-ROW($AF$3:$AF$7)/COUNT($AF$3:$AF$7),ROW(H6)-ROW(H$6)+1),$AF$3:$AF$7-ROW($AF$3:$AF$7)/COUNT($AF$3:$AF$7),0))</f>
        <v>Royal Bafokeng</v>
      </c>
      <c r="I6" s="7">
        <f>VLOOKUP($H6,$W$3:$AE$9,2,0)</f>
        <v>4</v>
      </c>
      <c r="J6" s="7">
        <f>VLOOKUP($H6,$W$3:$AE$9,3,0)</f>
        <v>4</v>
      </c>
      <c r="K6" s="7">
        <f>VLOOKUP($H6,$W$3:$AE$9,5,0)</f>
        <v>0</v>
      </c>
      <c r="L6" s="7">
        <f>VLOOKUP($H6,$W$3:$AE$9,4,0)</f>
        <v>0</v>
      </c>
      <c r="M6" s="7">
        <f>VLOOKUP($H6,$W$3:$AE$9,9,0)</f>
        <v>8</v>
      </c>
      <c r="N6" s="7">
        <f>VLOOKUP($H6,$W$3:$AE$9,6,0)</f>
        <v>231</v>
      </c>
      <c r="O6" s="7">
        <f>VLOOKUP($H6,$W$3:$AE$9,7,0)</f>
        <v>136</v>
      </c>
      <c r="P6" s="7">
        <f>VLOOKUP($H6,$W$3:$AE$9,8,0)</f>
        <v>95</v>
      </c>
      <c r="Q6" s="60">
        <f>VLOOKUP($H6,$W$3:$AG$7,11,0)</f>
        <v>0.42463235294117646</v>
      </c>
      <c r="W6" s="1" t="str">
        <f>A7</f>
        <v>Overberg</v>
      </c>
      <c r="X6" s="2" cm="1">
        <f t="array" ref="X6">SUM(($A$17:$A$614=W6)*(ISNUMBER($C$17:$C$614)),($B$17:$B$614=W6)*(ISNUMBER($E$17:$E$614)))</f>
        <v>4</v>
      </c>
      <c r="Y6" s="3" cm="1">
        <f t="array" ref="Y6">SUMPRODUCT(($A$17:$A$614=W6)*($C$17:$C$614&gt;$E$17:$E$614)) +
 SUMPRODUCT(($B$17:$B$614=W6)*($E$17:$E$614&gt;$C$17:$C$614))</f>
        <v>1</v>
      </c>
      <c r="Z6" s="3" cm="1">
        <f t="array" ref="Z6">SUM(($A$17:$A$614=W6)*($C$17:$C$614=$E$17:$E$614)*ISNUMBER($E$17:$E$614),($B$17:$B$614=W6)*($E$17:$E$614=$C$17:$C$614)*ISNUMBER($C$17:$C$614))</f>
        <v>0</v>
      </c>
      <c r="AA6" s="3" cm="1">
        <f t="array" ref="AA6">SUM(($A$17:$A$614=W6)*($C$17:$C$614&lt;$E$17:$E$614),($B$17:$B$614=W6)*($E$17:$E$614&lt;$C$17:$C$614))</f>
        <v>3</v>
      </c>
      <c r="AB6" s="4">
        <f>SUMIF($A$17:$A$614,W6,$C$17:$C$614)+SUMIF($B$17:$B$614,W6,$E$17:$E$614)</f>
        <v>174</v>
      </c>
      <c r="AC6" s="5">
        <f>SUMIF($A$17:$A$614,W6,$E$17:$E$614)+SUMIF($B$17:$B$614,W6,$C$17:$C$614)</f>
        <v>194</v>
      </c>
      <c r="AD6" s="3">
        <f t="shared" ref="AD6:AD7" si="3">AB6-AC6</f>
        <v>-20</v>
      </c>
      <c r="AE6" s="4">
        <f>Y6*Points!$B$2+Z6*Points!$B$3</f>
        <v>2</v>
      </c>
      <c r="AF6">
        <f t="shared" ref="AF6:AF7" si="4">AB6+AD6*10000+AE6*100000000</f>
        <v>199800174</v>
      </c>
      <c r="AG6">
        <f t="shared" si="2"/>
        <v>0.22422680412371135</v>
      </c>
    </row>
    <row r="7" spans="1:33" x14ac:dyDescent="0.3">
      <c r="A7" s="6" t="s">
        <v>73</v>
      </c>
      <c r="H7" s="6" t="str" cm="1">
        <f t="array" ref="H7">INDEX($W$3:$W$7,MATCH(LARGE($AF$3:$AF$7-ROW($AF$3:$AF$7)/COUNT($AF$3:$AF$7),ROW(H7)-ROW(H$6)+1),$AF$3:$AF$7-ROW($AF$3:$AF$7)/COUNT($AF$3:$AF$7),0))</f>
        <v>West Rand A</v>
      </c>
      <c r="I7" s="7">
        <f>VLOOKUP($H7,$W$3:$AE$9,2,0)</f>
        <v>4</v>
      </c>
      <c r="J7" s="7">
        <f>VLOOKUP($H7,$W$3:$AE$9,3,0)</f>
        <v>3</v>
      </c>
      <c r="K7" s="7">
        <f>VLOOKUP($H7,$W$3:$AE$9,5,0)</f>
        <v>1</v>
      </c>
      <c r="L7" s="7">
        <f>VLOOKUP($H7,$W$3:$AE$9,4,0)</f>
        <v>0</v>
      </c>
      <c r="M7" s="7">
        <f>VLOOKUP($H7,$W$3:$AE$9,9,0)</f>
        <v>6</v>
      </c>
      <c r="N7" s="7">
        <f>VLOOKUP($H7,$W$3:$AE$9,6,0)</f>
        <v>220</v>
      </c>
      <c r="O7" s="7">
        <f>VLOOKUP($H7,$W$3:$AE$9,7,0)</f>
        <v>134</v>
      </c>
      <c r="P7" s="7">
        <f>VLOOKUP($H7,$W$3:$AE$9,8,0)</f>
        <v>86</v>
      </c>
      <c r="Q7" s="60">
        <f t="shared" ref="Q7:Q10" si="5">VLOOKUP($H7,$W$3:$AG$7,11,0)</f>
        <v>0.41044776119402987</v>
      </c>
      <c r="W7" s="1" t="str">
        <f>A8</f>
        <v>Royal Bafokeng</v>
      </c>
      <c r="X7" s="2" cm="1">
        <f t="array" ref="X7">SUM(($A$17:$A$614=W7)*(ISNUMBER($C$17:$C$614)),($B$17:$B$614=W7)*(ISNUMBER($E$17:$E$614)))</f>
        <v>4</v>
      </c>
      <c r="Y7" s="3" cm="1">
        <f t="array" ref="Y7">SUMPRODUCT(($A$17:$A$614=W7)*($C$17:$C$614&gt;$E$17:$E$614)) +
 SUMPRODUCT(($B$17:$B$614=W7)*($E$17:$E$614&gt;$C$17:$C$614))</f>
        <v>4</v>
      </c>
      <c r="Z7" s="3" cm="1">
        <f t="array" ref="Z7">SUM(($A$17:$A$614=W7)*($C$17:$C$614=$E$17:$E$614)*ISNUMBER($E$17:$E$614),($B$17:$B$614=W7)*($E$17:$E$614=$C$17:$C$614)*ISNUMBER($C$17:$C$614))</f>
        <v>0</v>
      </c>
      <c r="AA7" s="3" cm="1">
        <f t="array" ref="AA7">SUM(($A$17:$A$614=W7)*($C$17:$C$614&lt;$E$17:$E$614),($B$17:$B$614=W7)*($E$17:$E$614&lt;$C$17:$C$614))</f>
        <v>0</v>
      </c>
      <c r="AB7" s="4">
        <f>SUMIF($A$17:$A$614,W7,$C$17:$C$614)+SUMIF($B$17:$B$614,W7,$E$17:$E$614)</f>
        <v>231</v>
      </c>
      <c r="AC7" s="5">
        <f>SUMIF($A$17:$A$614,W7,$E$17:$E$614)+SUMIF($B$17:$B$614,W7,$C$17:$C$614)</f>
        <v>136</v>
      </c>
      <c r="AD7" s="3">
        <f t="shared" si="3"/>
        <v>95</v>
      </c>
      <c r="AE7" s="4">
        <f>Y7*Points!$B$2+Z7*Points!$B$3</f>
        <v>8</v>
      </c>
      <c r="AF7">
        <f t="shared" si="4"/>
        <v>800950231</v>
      </c>
      <c r="AG7">
        <f t="shared" si="2"/>
        <v>0.42463235294117646</v>
      </c>
    </row>
    <row r="8" spans="1:33" x14ac:dyDescent="0.3">
      <c r="A8" s="6" t="s">
        <v>40</v>
      </c>
      <c r="H8" s="6" t="str" cm="1">
        <f t="array" ref="H8">INDEX($W$3:$W$7,MATCH(LARGE($AF$3:$AF$7-ROW($AF$3:$AF$7)/COUNT($AF$3:$AF$7),ROW(H8)-ROW(H$6)+1),$AF$3:$AF$7-ROW($AF$3:$AF$7)/COUNT($AF$3:$AF$7),0))</f>
        <v>Waterberg</v>
      </c>
      <c r="I8" s="7">
        <f>VLOOKUP($H8,$W$3:$AE$9,2,0)</f>
        <v>4</v>
      </c>
      <c r="J8" s="7">
        <f>VLOOKUP($H8,$W$3:$AE$9,3,0)</f>
        <v>1</v>
      </c>
      <c r="K8" s="7">
        <f>VLOOKUP($H8,$W$3:$AE$9,5,0)</f>
        <v>2</v>
      </c>
      <c r="L8" s="7">
        <f>VLOOKUP($H8,$W$3:$AE$9,4,0)</f>
        <v>1</v>
      </c>
      <c r="M8" s="7">
        <f>VLOOKUP($H8,$W$3:$AE$9,9,0)</f>
        <v>3</v>
      </c>
      <c r="N8" s="7">
        <f>VLOOKUP($H8,$W$3:$AE$9,6,0)</f>
        <v>160</v>
      </c>
      <c r="O8" s="7">
        <f>VLOOKUP($H8,$W$3:$AE$9,7,0)</f>
        <v>209</v>
      </c>
      <c r="P8" s="7">
        <f>VLOOKUP($H8,$W$3:$AE$9,8,0)</f>
        <v>-49</v>
      </c>
      <c r="Q8" s="60">
        <f t="shared" si="5"/>
        <v>0.19138755980861244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H9" s="6" t="str" cm="1">
        <f t="array" ref="H9">INDEX($W$3:$W$7,MATCH(LARGE($AF$3:$AF$7-ROW($AF$3:$AF$7)/COUNT($AF$3:$AF$7),ROW(H9)-ROW(H$6)+1),$AF$3:$AF$7-ROW($AF$3:$AF$7)/COUNT($AF$3:$AF$7),0))</f>
        <v>Overberg</v>
      </c>
      <c r="I9" s="7">
        <f>VLOOKUP($H9,$W$3:$AE$9,2,0)</f>
        <v>4</v>
      </c>
      <c r="J9" s="7">
        <f>VLOOKUP($H9,$W$3:$AE$9,3,0)</f>
        <v>1</v>
      </c>
      <c r="K9" s="7">
        <f>VLOOKUP($H9,$W$3:$AE$9,5,0)</f>
        <v>3</v>
      </c>
      <c r="L9" s="7">
        <f>VLOOKUP($H9,$W$3:$AE$9,4,0)</f>
        <v>0</v>
      </c>
      <c r="M9" s="7">
        <f>VLOOKUP($H9,$W$3:$AE$9,9,0)</f>
        <v>2</v>
      </c>
      <c r="N9" s="7">
        <f>VLOOKUP($H9,$W$3:$AE$9,6,0)</f>
        <v>174</v>
      </c>
      <c r="O9" s="7">
        <f>VLOOKUP($H9,$W$3:$AE$9,7,0)</f>
        <v>194</v>
      </c>
      <c r="P9" s="7">
        <f>VLOOKUP($H9,$W$3:$AE$9,8,0)</f>
        <v>-20</v>
      </c>
      <c r="Q9" s="60">
        <f t="shared" si="5"/>
        <v>0.22422680412371135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 s="6" t="str" cm="1">
        <f t="array" ref="H10">INDEX($W$3:$W$7,MATCH(LARGE($AF$3:$AF$7-ROW($AF$3:$AF$7)/COUNT($AF$3:$AF$7),ROW(H10)-ROW(H$6)+1),$AF$3:$AF$7-ROW($AF$3:$AF$7)/COUNT($AF$3:$AF$7),0))</f>
        <v>Lejweleputswa</v>
      </c>
      <c r="I10" s="7">
        <f>VLOOKUP($H10,$W$3:$AE$9,2,0)</f>
        <v>4</v>
      </c>
      <c r="J10" s="7">
        <f>VLOOKUP($H10,$W$3:$AE$9,3,0)</f>
        <v>0</v>
      </c>
      <c r="K10" s="7">
        <f>VLOOKUP($H10,$W$3:$AE$9,5,0)</f>
        <v>3</v>
      </c>
      <c r="L10" s="7">
        <f>VLOOKUP($H10,$W$3:$AE$9,4,0)</f>
        <v>1</v>
      </c>
      <c r="M10" s="7">
        <f>VLOOKUP($H10,$W$3:$AE$9,9,0)</f>
        <v>1</v>
      </c>
      <c r="N10" s="7">
        <f>VLOOKUP($H10,$W$3:$AE$9,6,0)</f>
        <v>105</v>
      </c>
      <c r="O10" s="7">
        <f>VLOOKUP($H10,$W$3:$AE$9,7,0)</f>
        <v>217</v>
      </c>
      <c r="P10" s="7">
        <f>VLOOKUP($H10,$W$3:$AE$9,8,0)</f>
        <v>-112</v>
      </c>
      <c r="Q10" s="60">
        <f t="shared" si="5"/>
        <v>0.12096774193548387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2" x14ac:dyDescent="0.3">
      <c r="A17" s="21" t="s">
        <v>21</v>
      </c>
      <c r="B17" s="22" t="s">
        <v>73</v>
      </c>
      <c r="C17" s="23">
        <v>26</v>
      </c>
      <c r="D17" s="23" t="s">
        <v>16</v>
      </c>
      <c r="E17" s="24">
        <v>51</v>
      </c>
      <c r="F17" s="3"/>
      <c r="H17"/>
      <c r="I17"/>
      <c r="J17" s="3"/>
      <c r="K17" s="3"/>
      <c r="L17" s="3"/>
    </row>
    <row r="18" spans="1:12" ht="15" thickBot="1" x14ac:dyDescent="0.35">
      <c r="A18" s="27" t="s">
        <v>24</v>
      </c>
      <c r="B18" s="28" t="s">
        <v>35</v>
      </c>
      <c r="C18" s="29">
        <v>61</v>
      </c>
      <c r="D18" s="29" t="s">
        <v>16</v>
      </c>
      <c r="E18" s="30">
        <v>33</v>
      </c>
      <c r="F18" s="3"/>
      <c r="H18"/>
      <c r="I18"/>
      <c r="J18" s="3"/>
      <c r="K18" s="3"/>
      <c r="L18" s="3"/>
    </row>
    <row r="19" spans="1:12" x14ac:dyDescent="0.3">
      <c r="F19" s="3"/>
      <c r="H19"/>
      <c r="I19"/>
    </row>
    <row r="20" spans="1:12" x14ac:dyDescent="0.3">
      <c r="F20" s="3"/>
      <c r="H20"/>
      <c r="I20"/>
    </row>
    <row r="21" spans="1:12" ht="15" thickBot="1" x14ac:dyDescent="0.35">
      <c r="A21" s="20" t="s">
        <v>104</v>
      </c>
      <c r="F21" s="3"/>
      <c r="H21"/>
      <c r="I21"/>
    </row>
    <row r="22" spans="1:12" x14ac:dyDescent="0.3">
      <c r="A22" s="21" t="s">
        <v>24</v>
      </c>
      <c r="B22" s="22" t="s">
        <v>73</v>
      </c>
      <c r="C22" s="23">
        <v>54</v>
      </c>
      <c r="D22" s="23" t="str">
        <f>D17</f>
        <v>:</v>
      </c>
      <c r="E22" s="24">
        <v>37</v>
      </c>
      <c r="H22"/>
      <c r="I22"/>
      <c r="J22" s="3"/>
      <c r="K22" s="3"/>
      <c r="L22" s="3"/>
    </row>
    <row r="23" spans="1:12" ht="15" thickBot="1" x14ac:dyDescent="0.35">
      <c r="A23" s="27" t="s">
        <v>35</v>
      </c>
      <c r="B23" s="28" t="s">
        <v>40</v>
      </c>
      <c r="C23" s="29">
        <v>35</v>
      </c>
      <c r="D23" s="29" t="str">
        <f>D18</f>
        <v>:</v>
      </c>
      <c r="E23" s="30">
        <v>64</v>
      </c>
      <c r="H23"/>
      <c r="I23"/>
      <c r="J23" s="3"/>
      <c r="K23" s="3"/>
      <c r="L23" s="3"/>
    </row>
    <row r="26" spans="1:12" ht="15" thickBot="1" x14ac:dyDescent="0.35">
      <c r="A26" s="20" t="s">
        <v>141</v>
      </c>
    </row>
    <row r="27" spans="1:12" x14ac:dyDescent="0.3">
      <c r="A27" s="21" t="s">
        <v>21</v>
      </c>
      <c r="B27" s="22" t="s">
        <v>24</v>
      </c>
      <c r="C27" s="23">
        <v>21</v>
      </c>
      <c r="D27" s="23" t="s">
        <v>16</v>
      </c>
      <c r="E27" s="24">
        <v>64</v>
      </c>
      <c r="H27"/>
      <c r="I27"/>
      <c r="J27" s="3"/>
      <c r="K27" s="3"/>
      <c r="L27" s="3"/>
    </row>
    <row r="28" spans="1:12" x14ac:dyDescent="0.3">
      <c r="A28" s="25" t="s">
        <v>73</v>
      </c>
      <c r="B28" s="6" t="s">
        <v>40</v>
      </c>
      <c r="C28" s="7">
        <v>42</v>
      </c>
      <c r="D28" s="7" t="s">
        <v>16</v>
      </c>
      <c r="E28" s="26">
        <v>62</v>
      </c>
    </row>
    <row r="31" spans="1:12" ht="15" thickBot="1" x14ac:dyDescent="0.35">
      <c r="A31" s="20" t="s">
        <v>145</v>
      </c>
    </row>
    <row r="32" spans="1:12" x14ac:dyDescent="0.3">
      <c r="A32" s="21" t="s">
        <v>21</v>
      </c>
      <c r="B32" s="22" t="s">
        <v>40</v>
      </c>
      <c r="C32" s="23">
        <v>18</v>
      </c>
      <c r="D32" s="23" t="s">
        <v>16</v>
      </c>
      <c r="E32" s="24">
        <v>62</v>
      </c>
    </row>
    <row r="33" spans="1:12" x14ac:dyDescent="0.3">
      <c r="A33" s="25" t="s">
        <v>21</v>
      </c>
      <c r="B33" s="6" t="s">
        <v>35</v>
      </c>
      <c r="C33" s="7">
        <v>40</v>
      </c>
      <c r="D33" s="7"/>
      <c r="E33" s="26">
        <v>40</v>
      </c>
    </row>
    <row r="34" spans="1:12" x14ac:dyDescent="0.3">
      <c r="A34" s="25" t="s">
        <v>40</v>
      </c>
      <c r="B34" s="6" t="s">
        <v>24</v>
      </c>
      <c r="C34" s="7">
        <v>43</v>
      </c>
      <c r="D34" s="7" t="s">
        <v>16</v>
      </c>
      <c r="E34" s="26">
        <v>41</v>
      </c>
    </row>
    <row r="35" spans="1:12" ht="15" thickBot="1" x14ac:dyDescent="0.35">
      <c r="A35" s="27" t="s">
        <v>35</v>
      </c>
      <c r="B35" s="28" t="s">
        <v>73</v>
      </c>
      <c r="C35" s="28">
        <v>52</v>
      </c>
      <c r="D35" s="28" t="s">
        <v>16</v>
      </c>
      <c r="E35" s="90">
        <v>44</v>
      </c>
    </row>
    <row r="36" spans="1:12" x14ac:dyDescent="0.3">
      <c r="H36" s="41"/>
      <c r="I36"/>
    </row>
    <row r="37" spans="1:12" x14ac:dyDescent="0.3">
      <c r="G37" s="42"/>
      <c r="H37"/>
      <c r="I37"/>
      <c r="J37" s="3"/>
      <c r="K37" s="3"/>
      <c r="L37" s="3"/>
    </row>
    <row r="38" spans="1:12" x14ac:dyDescent="0.3">
      <c r="H38"/>
      <c r="I38"/>
      <c r="J38" s="3"/>
      <c r="K38" s="3"/>
      <c r="L38" s="3"/>
    </row>
    <row r="39" spans="1:12" x14ac:dyDescent="0.3">
      <c r="H39"/>
      <c r="I39"/>
      <c r="J39" s="3"/>
      <c r="K39" s="3"/>
      <c r="L39" s="3"/>
    </row>
    <row r="40" spans="1:12" x14ac:dyDescent="0.3">
      <c r="H40"/>
      <c r="I40"/>
      <c r="J40" s="3"/>
      <c r="K40" s="3"/>
      <c r="L40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BFF0-6BEB-410F-A121-8603BE818B7A}">
  <sheetPr codeName="Sheet11">
    <tabColor theme="4" tint="0.79998168889431442"/>
  </sheetPr>
  <dimension ref="A1:AG43"/>
  <sheetViews>
    <sheetView topLeftCell="B1" workbookViewId="0">
      <selection activeCell="H39" sqref="H39"/>
    </sheetView>
  </sheetViews>
  <sheetFormatPr defaultRowHeight="14.4" x14ac:dyDescent="0.3"/>
  <cols>
    <col min="1" max="1" width="26.88671875" bestFit="1" customWidth="1"/>
    <col min="2" max="2" width="15.664062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5.664062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8" customWidth="1"/>
    <col min="17" max="17" width="12" bestFit="1" customWidth="1"/>
    <col min="21" max="21" width="11.44140625" customWidth="1"/>
    <col min="23" max="23" width="16.332031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50" t="s">
        <v>97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Cape Winelands A</v>
      </c>
      <c r="X3" s="2" cm="1">
        <f t="array" ref="X3">SUM(($A$17:$A$617=W3)*(ISNUMBER($C$17:$C$617)),($B$17:$B$617=W3)*(ISNUMBER($E$17:$E$617)))</f>
        <v>5</v>
      </c>
      <c r="Y3" s="3" cm="1">
        <f t="array" ref="Y3">SUMPRODUCT(($A$17:$A$617=W3)*($C$17:$C$617&gt;$E$17:$E$617)) +
 SUMPRODUCT(($B$17:$B$617=W3)*($E$17:$E$617&gt;$C$17:$C$617))</f>
        <v>5</v>
      </c>
      <c r="Z3" s="3" cm="1">
        <f t="array" ref="Z3">SUM(($A$17:$A$617=W3)*($C$17:$C$617=$E$17:$E$617)*ISNUMBER($E$17:$E$617),($B$17:$B$617=W3)*($E$17:$E$617=$C$17:$C$617)*ISNUMBER($C$17:$C$617))</f>
        <v>0</v>
      </c>
      <c r="AA3" s="3" cm="1">
        <f t="array" ref="AA3">SUM(($A$17:$A$617=W3)*($C$17:$C$617&lt;$E$17:$E$617),($B$17:$B$617=W3)*($E$17:$E$617&lt;$C$17:$C$617))</f>
        <v>0</v>
      </c>
      <c r="AB3" s="4">
        <f>SUMIF($A$17:$A$617,W3,$C$17:$C$617)+SUMIF($B$17:$B$617,W3,$E$17:$E$617)</f>
        <v>325</v>
      </c>
      <c r="AC3" s="5">
        <f>SUMIF($A$17:$A$617,W3,$E$17:$E$617)+SUMIF($B$17:$B$617,W3,$C$17:$C$617)</f>
        <v>157</v>
      </c>
      <c r="AD3" s="3">
        <f>AB3-AC3</f>
        <v>168</v>
      </c>
      <c r="AE3" s="4">
        <f>Y3*Points!$B$2+Z3*Points!$B$3</f>
        <v>10</v>
      </c>
      <c r="AF3">
        <f>AB3+AD3*10000+AE3*100000000</f>
        <v>1001680325</v>
      </c>
      <c r="AG3">
        <f>AB3/AC3/X3</f>
        <v>0.4140127388535032</v>
      </c>
    </row>
    <row r="4" spans="1:33" ht="28.8" x14ac:dyDescent="0.55000000000000004">
      <c r="A4" s="6" t="s">
        <v>83</v>
      </c>
      <c r="H4" s="121" t="s">
        <v>97</v>
      </c>
      <c r="I4" s="122"/>
      <c r="J4" s="122"/>
      <c r="K4" s="122"/>
      <c r="L4" s="122"/>
      <c r="M4" s="122"/>
      <c r="N4" s="122"/>
      <c r="O4" s="122"/>
      <c r="P4" s="122"/>
      <c r="Q4" s="122"/>
      <c r="W4" s="1" t="str">
        <f>A5</f>
        <v>Tshwane B</v>
      </c>
      <c r="X4" s="2" cm="1">
        <f t="array" ref="X4">SUM(($A$17:$A$617=W4)*(ISNUMBER($C$17:$C$617)),($B$17:$B$617=W4)*(ISNUMBER($E$17:$E$617)))</f>
        <v>5</v>
      </c>
      <c r="Y4" s="3" cm="1">
        <f t="array" ref="Y4">SUMPRODUCT(($A$17:$A$617=W4)*($C$17:$C$617&gt;$E$17:$E$617)) +
 SUMPRODUCT(($B$17:$B$617=W4)*($E$17:$E$617&gt;$C$17:$C$617))</f>
        <v>1</v>
      </c>
      <c r="Z4" s="3" cm="1">
        <f t="array" ref="Z4">SUM(($A$17:$A$617=W4)*($C$17:$C$617=$E$17:$E$617)*ISNUMBER($E$17:$E$617),($B$17:$B$617=W4)*($E$17:$E$617=$C$17:$C$617)*ISNUMBER($C$17:$C$617))</f>
        <v>1</v>
      </c>
      <c r="AA4" s="3" cm="1">
        <f t="array" ref="AA4">SUM(($A$17:$A$617=W4)*($C$17:$C$617&lt;$E$17:$E$617),($B$17:$B$617=W4)*($E$17:$E$617&lt;$C$17:$C$617))</f>
        <v>3</v>
      </c>
      <c r="AB4" s="4">
        <f>SUMIF($A$17:$A$617,W4,$C$17:$C$617)+SUMIF($B$17:$B$617,W4,$E$17:$E$617)</f>
        <v>221</v>
      </c>
      <c r="AC4" s="5">
        <f>SUMIF($A$17:$A$617,W4,$E$17:$E$617)+SUMIF($B$17:$B$617,W4,$C$17:$C$617)</f>
        <v>294</v>
      </c>
      <c r="AD4" s="3">
        <f t="shared" ref="AD4" si="0">AB4-AC4</f>
        <v>-73</v>
      </c>
      <c r="AE4" s="4">
        <f>Y4*Points!$B$2+Z4*Points!$B$3</f>
        <v>3</v>
      </c>
      <c r="AF4">
        <f t="shared" ref="AF4" si="1">AB4+AD4*10000+AE4*100000000</f>
        <v>299270221</v>
      </c>
      <c r="AG4">
        <f t="shared" ref="AG4:AG8" si="2">AB4/AC4/X4</f>
        <v>0.15034013605442176</v>
      </c>
    </row>
    <row r="5" spans="1:33" x14ac:dyDescent="0.3">
      <c r="A5" s="6" t="s">
        <v>42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Ekhurleni A</v>
      </c>
      <c r="X5" s="2" cm="1">
        <f t="array" ref="X5">SUM(($A$17:$A$617=W5)*(ISNUMBER($C$17:$C$617)),($B$17:$B$617=W5)*(ISNUMBER($E$17:$E$617)))</f>
        <v>5</v>
      </c>
      <c r="Y5" s="3" cm="1">
        <f t="array" ref="Y5">SUMPRODUCT(($A$17:$A$617=W5)*($C$17:$C$617&gt;$E$17:$E$617)) +
 SUMPRODUCT(($B$17:$B$617=W5)*($E$17:$E$617&gt;$C$17:$C$617)) + 1</f>
        <v>3</v>
      </c>
      <c r="Z5" s="3" cm="1">
        <f t="array" ref="Z5">SUM(($A$17:$A$617=W5)*($C$17:$C$617=$E$17:$E$617)*ISNUMBER($E$17:$E$617),($B$17:$B$617=W5)*($E$17:$E$617=$C$17:$C$617)*ISNUMBER($C$17:$C$617))</f>
        <v>0</v>
      </c>
      <c r="AA5" s="3" cm="1">
        <f t="array" ref="AA5">SUM(($A$17:$A$617=W5)*($C$17:$C$617&lt;$E$17:$E$617),($B$17:$B$617=W5)*($E$17:$E$617&lt;$C$17:$C$617)) -1</f>
        <v>2</v>
      </c>
      <c r="AB5" s="4">
        <f>SUMIF($A$17:$A$617,W5,$C$17:$C$617)+SUMIF($B$17:$B$617,W5,$E$17:$E$617)</f>
        <v>233</v>
      </c>
      <c r="AC5" s="5">
        <f>SUMIF($A$17:$A$617,W5,$E$17:$E$617)+SUMIF($B$17:$B$617,W5,$C$17:$C$617)</f>
        <v>251</v>
      </c>
      <c r="AD5" s="3">
        <f>AB5-AC5</f>
        <v>-18</v>
      </c>
      <c r="AE5" s="4">
        <f>Y5*Points!$B$2+Z5*Points!$B$3</f>
        <v>6</v>
      </c>
      <c r="AF5">
        <f>AB5+AD5*10000+AE5*100000000</f>
        <v>599820233</v>
      </c>
      <c r="AG5">
        <f t="shared" si="2"/>
        <v>0.18565737051792827</v>
      </c>
    </row>
    <row r="6" spans="1:33" x14ac:dyDescent="0.3">
      <c r="A6" s="6" t="s">
        <v>53</v>
      </c>
      <c r="H6" s="6" t="str" cm="1">
        <f t="array" ref="H6">INDEX($W$3:$W$8,MATCH(LARGE($AF$3:$AF$8-ROW($AF$3:$AF$8)/COUNT($AF$3:$AF$8),ROW(H6)-ROW(H$6)+1),$AF$3:$AF$8-ROW($AF$3:$AF$8)/COUNT($AF$3:$AF$8),0))</f>
        <v>Cape Winelands A</v>
      </c>
      <c r="I6" s="7">
        <f>VLOOKUP($H6,$W$3:$AE$10,2,0)</f>
        <v>5</v>
      </c>
      <c r="J6" s="7">
        <f>VLOOKUP($H6,$W$3:$AE$10,3,0)</f>
        <v>5</v>
      </c>
      <c r="K6" s="7">
        <f>VLOOKUP($H6,$W$3:$AE$10,5,0)</f>
        <v>0</v>
      </c>
      <c r="L6" s="7">
        <f>VLOOKUP($H6,$W$3:$AE$10,4,0)</f>
        <v>0</v>
      </c>
      <c r="M6" s="7">
        <f>VLOOKUP($H6,$W$3:$AE$12,9,0)</f>
        <v>10</v>
      </c>
      <c r="N6" s="7">
        <f>VLOOKUP($H6,$W$3:$AE$12,6,0)</f>
        <v>325</v>
      </c>
      <c r="O6" s="7">
        <f>VLOOKUP($H6,$W$3:$AE$12,7,0)</f>
        <v>157</v>
      </c>
      <c r="P6" s="7">
        <f>VLOOKUP($H6,$W$3:$AE$12,8,0)</f>
        <v>168</v>
      </c>
      <c r="Q6" s="66">
        <f>VLOOKUP($H6,$W$3:$AG$8,11,0)</f>
        <v>0.4140127388535032</v>
      </c>
      <c r="W6" s="1" t="str">
        <f t="shared" ref="W6" si="3">A7</f>
        <v>Bojanala A</v>
      </c>
      <c r="X6" s="2" cm="1">
        <f t="array" ref="X6">SUM(($A$17:$A$617=W6)*(ISNUMBER($C$17:$C$617)),($B$17:$B$617=W6)*(ISNUMBER($E$17:$E$617)))</f>
        <v>5</v>
      </c>
      <c r="Y6" s="3" cm="1">
        <f t="array" ref="Y6">SUMPRODUCT(($A$17:$A$617=W6)*($C$17:$C$617&gt;$E$17:$E$617)) +
 SUMPRODUCT(($B$17:$B$617=W6)*($E$17:$E$617&gt;$C$17:$C$617)) - 1</f>
        <v>0</v>
      </c>
      <c r="Z6" s="3" cm="1">
        <f t="array" ref="Z6">SUM(($A$17:$A$617=W6)*($C$17:$C$617=$E$17:$E$617)*ISNUMBER($E$17:$E$617),($B$17:$B$617=W6)*($E$17:$E$617=$C$17:$C$617)*ISNUMBER($C$17:$C$617))</f>
        <v>0</v>
      </c>
      <c r="AA6" s="3" cm="1">
        <f t="array" ref="AA6">SUM(($A$17:$A$617=W6)*($C$17:$C$617&lt;$E$17:$E$617),($B$17:$B$617=W6)*($E$17:$E$617&lt;$C$17:$C$617)) + 1</f>
        <v>5</v>
      </c>
      <c r="AB6" s="4">
        <f>SUMIF($A$17:$A$617,W6,$C$17:$C$617)+SUMIF($B$17:$B$617,W6,$E$17:$E$617)</f>
        <v>222</v>
      </c>
      <c r="AC6" s="5">
        <f>SUMIF($A$17:$A$617,W6,$E$17:$E$617)+SUMIF($B$17:$B$617,W6,$C$17:$C$617)</f>
        <v>259</v>
      </c>
      <c r="AD6" s="3">
        <f t="shared" ref="AD6:AD8" si="4">AB6-AC6</f>
        <v>-37</v>
      </c>
      <c r="AE6" s="4">
        <f>Y6*Points!$B$2+Z6*Points!$B$3</f>
        <v>0</v>
      </c>
      <c r="AF6">
        <f t="shared" ref="AF6:AF8" si="5">AB6+AD6*10000+AE6*100000000</f>
        <v>-369778</v>
      </c>
      <c r="AG6">
        <f t="shared" si="2"/>
        <v>0.17142857142857143</v>
      </c>
    </row>
    <row r="7" spans="1:33" x14ac:dyDescent="0.3">
      <c r="A7" s="6" t="s">
        <v>77</v>
      </c>
      <c r="H7" s="6" t="str" cm="1">
        <f t="array" ref="H7">INDEX($W$3:$W$8,MATCH(LARGE($AF$3:$AF$8-ROW($AF$3:$AF$8)/COUNT($AF$3:$AF$8),ROW(H7)-ROW(H$6)+1),$AF$3:$AF$8-ROW($AF$3:$AF$8)/COUNT($AF$3:$AF$8),0))</f>
        <v>King Cetshwayo</v>
      </c>
      <c r="I7" s="7">
        <f t="shared" ref="I7:I11" si="6">VLOOKUP($H7,$W$3:$AE$10,2,0)</f>
        <v>5</v>
      </c>
      <c r="J7" s="7">
        <f t="shared" ref="J7:J11" si="7">VLOOKUP($H7,$W$3:$AE$10,3,0)</f>
        <v>4</v>
      </c>
      <c r="K7" s="7">
        <f t="shared" ref="K7:K11" si="8">VLOOKUP($H7,$W$3:$AE$10,5,0)</f>
        <v>1</v>
      </c>
      <c r="L7" s="7">
        <f t="shared" ref="L7:L11" si="9">VLOOKUP($H7,$W$3:$AE$10,4,0)</f>
        <v>0</v>
      </c>
      <c r="M7" s="7">
        <f t="shared" ref="M7" si="10">VLOOKUP($H7,$W$3:$AE$12,9,0)</f>
        <v>8</v>
      </c>
      <c r="N7" s="7">
        <f t="shared" ref="N7:N11" si="11">VLOOKUP($H7,$W$3:$AE$12,6,0)</f>
        <v>237</v>
      </c>
      <c r="O7" s="7">
        <f t="shared" ref="O7:O11" si="12">VLOOKUP($H7,$W$3:$AE$12,7,0)</f>
        <v>198</v>
      </c>
      <c r="P7" s="7">
        <f t="shared" ref="P7:P11" si="13">VLOOKUP($H7,$W$3:$AE$12,8,0)</f>
        <v>39</v>
      </c>
      <c r="Q7" s="66">
        <f t="shared" ref="Q7:Q11" si="14">VLOOKUP($H7,$W$3:$AG$8,11,0)</f>
        <v>0.23939393939393941</v>
      </c>
      <c r="W7" s="1" t="str">
        <f>A8</f>
        <v>Vhembe</v>
      </c>
      <c r="X7" s="2" cm="1">
        <f t="array" ref="X7">SUM(($A$17:$A$617=W7)*(ISNUMBER($C$17:$C$617)),($B$17:$B$617=W7)*(ISNUMBER($E$17:$E$617)))</f>
        <v>5</v>
      </c>
      <c r="Y7" s="3" cm="1">
        <f t="array" ref="Y7">SUMPRODUCT(($A$17:$A$617=W7)*($C$17:$C$617&gt;$E$17:$E$617)) +
 SUMPRODUCT(($B$17:$B$617=W7)*($E$17:$E$617&gt;$C$17:$C$617))</f>
        <v>1</v>
      </c>
      <c r="Z7" s="3" cm="1">
        <f t="array" ref="Z7">SUM(($A$17:$A$617=W7)*($C$17:$C$617=$E$17:$E$617)*ISNUMBER($E$17:$E$617),($B$17:$B$617=W7)*($E$17:$E$617=$C$17:$C$617)*ISNUMBER($C$17:$C$617))</f>
        <v>1</v>
      </c>
      <c r="AA7" s="3" cm="1">
        <f t="array" ref="AA7">SUM(($A$17:$A$617=W7)*($C$17:$C$617&lt;$E$17:$E$617),($B$17:$B$617=W7)*($E$17:$E$617&lt;$C$17:$C$617))</f>
        <v>3</v>
      </c>
      <c r="AB7" s="4">
        <f>SUMIF($A$17:$A$617,W7,$C$17:$C$617)+SUMIF($B$17:$B$617,W7,$E$17:$E$617)</f>
        <v>182</v>
      </c>
      <c r="AC7" s="5">
        <f>SUMIF($A$17:$A$617,W7,$E$17:$E$617)+SUMIF($B$17:$B$617,W7,$C$17:$C$617)</f>
        <v>261</v>
      </c>
      <c r="AD7" s="3">
        <f t="shared" si="4"/>
        <v>-79</v>
      </c>
      <c r="AE7" s="4">
        <f>Y7*Points!$B$2+Z7*Points!$B$3</f>
        <v>3</v>
      </c>
      <c r="AF7">
        <f t="shared" si="5"/>
        <v>299210182</v>
      </c>
      <c r="AG7">
        <f t="shared" si="2"/>
        <v>0.13946360153256704</v>
      </c>
    </row>
    <row r="8" spans="1:33" x14ac:dyDescent="0.3">
      <c r="A8" s="6" t="s">
        <v>41</v>
      </c>
      <c r="H8" s="6" t="str" cm="1">
        <f t="array" ref="H8">INDEX($W$3:$W$8,MATCH(LARGE($AF$3:$AF$8-ROW($AF$3:$AF$8)/COUNT($AF$3:$AF$8),ROW(H8)-ROW(H$6)+1),$AF$3:$AF$8-ROW($AF$3:$AF$8)/COUNT($AF$3:$AF$8),0))</f>
        <v>Ekhurleni A</v>
      </c>
      <c r="I8" s="7">
        <f t="shared" si="6"/>
        <v>5</v>
      </c>
      <c r="J8" s="7">
        <f t="shared" si="7"/>
        <v>3</v>
      </c>
      <c r="K8" s="7">
        <f t="shared" si="8"/>
        <v>2</v>
      </c>
      <c r="L8" s="7">
        <f t="shared" si="9"/>
        <v>0</v>
      </c>
      <c r="M8" s="7">
        <f>VLOOKUP($H8,$W$3:$AE$12,9,0)</f>
        <v>6</v>
      </c>
      <c r="N8" s="7">
        <f t="shared" si="11"/>
        <v>233</v>
      </c>
      <c r="O8" s="7">
        <f t="shared" si="12"/>
        <v>251</v>
      </c>
      <c r="P8" s="7">
        <f t="shared" si="13"/>
        <v>-18</v>
      </c>
      <c r="Q8" s="66">
        <f t="shared" si="14"/>
        <v>0.18565737051792827</v>
      </c>
      <c r="W8" s="1" t="str">
        <f>A9</f>
        <v>King Cetshwayo</v>
      </c>
      <c r="X8" s="2" cm="1">
        <f t="array" ref="X8">SUM(($A$17:$A$617=W8)*(ISNUMBER($C$17:$C$617)),($B$17:$B$617=W8)*(ISNUMBER($E$17:$E$617)))</f>
        <v>5</v>
      </c>
      <c r="Y8" s="3" cm="1">
        <f t="array" ref="Y8">SUMPRODUCT(($A$17:$A$617=W8)*($C$17:$C$617&gt;$E$17:$E$617)) +
 SUMPRODUCT(($B$17:$B$617=W8)*($E$17:$E$617&gt;$C$17:$C$617))</f>
        <v>4</v>
      </c>
      <c r="Z8" s="3" cm="1">
        <f t="array" ref="Z8">SUM(($A$17:$A$617=W8)*($C$17:$C$617=$E$17:$E$617)*ISNUMBER($E$17:$E$617),($B$17:$B$617=W8)*($E$17:$E$617=$C$17:$C$617)*ISNUMBER($C$17:$C$617))</f>
        <v>0</v>
      </c>
      <c r="AA8" s="3" cm="1">
        <f t="array" ref="AA8">SUM(($A$17:$A$617=W8)*($C$17:$C$617&lt;$E$17:$E$617),($B$17:$B$617=W8)*($E$17:$E$617&lt;$C$17:$C$617))</f>
        <v>1</v>
      </c>
      <c r="AB8" s="4">
        <f>SUMIF($A$17:$A$617,W8,$C$17:$C$617)+SUMIF($B$17:$B$617,W8,$E$17:$E$617)</f>
        <v>237</v>
      </c>
      <c r="AC8" s="5">
        <f>SUMIF($A$17:$A$617,W8,$E$17:$E$617)+SUMIF($B$17:$B$617,W8,$C$17:$C$617)</f>
        <v>198</v>
      </c>
      <c r="AD8" s="3">
        <f t="shared" si="4"/>
        <v>39</v>
      </c>
      <c r="AE8" s="4">
        <f>Y8*Points!$B$2+Z8*Points!$B$3</f>
        <v>8</v>
      </c>
      <c r="AF8">
        <f t="shared" si="5"/>
        <v>800390237</v>
      </c>
      <c r="AG8">
        <f t="shared" si="2"/>
        <v>0.23939393939393941</v>
      </c>
    </row>
    <row r="9" spans="1:33" x14ac:dyDescent="0.3">
      <c r="A9" s="6" t="s">
        <v>71</v>
      </c>
      <c r="H9" s="6" t="str" cm="1">
        <f t="array" ref="H9">INDEX($W$3:$W$8,MATCH(LARGE($AF$3:$AF$8-ROW($AF$3:$AF$8)/COUNT($AF$3:$AF$8),ROW(H9)-ROW(H$6)+1),$AF$3:$AF$8-ROW($AF$3:$AF$8)/COUNT($AF$3:$AF$8),0))</f>
        <v>Tshwane B</v>
      </c>
      <c r="I9" s="7">
        <f t="shared" si="6"/>
        <v>5</v>
      </c>
      <c r="J9" s="7">
        <f t="shared" si="7"/>
        <v>1</v>
      </c>
      <c r="K9" s="7">
        <f t="shared" si="8"/>
        <v>3</v>
      </c>
      <c r="L9" s="7">
        <f t="shared" si="9"/>
        <v>1</v>
      </c>
      <c r="M9" s="7">
        <f t="shared" ref="M9:M11" si="15">VLOOKUP($H9,$W$3:$AE$12,9,0)</f>
        <v>3</v>
      </c>
      <c r="N9" s="7">
        <f t="shared" si="11"/>
        <v>221</v>
      </c>
      <c r="O9" s="7">
        <f t="shared" si="12"/>
        <v>294</v>
      </c>
      <c r="P9" s="7">
        <f t="shared" si="13"/>
        <v>-73</v>
      </c>
      <c r="Q9" s="66">
        <f t="shared" si="14"/>
        <v>0.15034013605442176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A10" s="6"/>
      <c r="H10" s="6" t="str" cm="1">
        <f t="array" ref="H10">INDEX($W$3:$W$8,MATCH(LARGE($AF$3:$AF$8-ROW($AF$3:$AF$8)/COUNT($AF$3:$AF$8),ROW(H10)-ROW(H$6)+1),$AF$3:$AF$8-ROW($AF$3:$AF$8)/COUNT($AF$3:$AF$8),0))</f>
        <v>Vhembe</v>
      </c>
      <c r="I10" s="7">
        <f t="shared" si="6"/>
        <v>5</v>
      </c>
      <c r="J10" s="7">
        <f t="shared" si="7"/>
        <v>1</v>
      </c>
      <c r="K10" s="7">
        <f t="shared" si="8"/>
        <v>3</v>
      </c>
      <c r="L10" s="7">
        <f t="shared" si="9"/>
        <v>1</v>
      </c>
      <c r="M10" s="7">
        <f t="shared" si="15"/>
        <v>3</v>
      </c>
      <c r="N10" s="7">
        <f t="shared" si="11"/>
        <v>182</v>
      </c>
      <c r="O10" s="7">
        <f t="shared" si="12"/>
        <v>261</v>
      </c>
      <c r="P10" s="7">
        <f t="shared" si="13"/>
        <v>-79</v>
      </c>
      <c r="Q10" s="66">
        <f t="shared" si="14"/>
        <v>0.13946360153256704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INDEX($W$3:$W$8,MATCH(LARGE($AF$3:$AF$8-ROW($AF$3:$AF$8)/COUNT($AF$3:$AF$8),ROW(H11)-ROW(H$6)+1),$AF$3:$AF$8-ROW($AF$3:$AF$8)/COUNT($AF$3:$AF$8),0))</f>
        <v>Bojanala A</v>
      </c>
      <c r="I11" s="7">
        <f t="shared" si="6"/>
        <v>5</v>
      </c>
      <c r="J11" s="7">
        <f t="shared" si="7"/>
        <v>0</v>
      </c>
      <c r="K11" s="7">
        <f t="shared" si="8"/>
        <v>5</v>
      </c>
      <c r="L11" s="7">
        <f t="shared" si="9"/>
        <v>0</v>
      </c>
      <c r="M11" s="7">
        <f t="shared" si="15"/>
        <v>0</v>
      </c>
      <c r="N11" s="7">
        <f t="shared" si="11"/>
        <v>222</v>
      </c>
      <c r="O11" s="7">
        <f t="shared" si="12"/>
        <v>259</v>
      </c>
      <c r="P11" s="7">
        <f t="shared" si="13"/>
        <v>-37</v>
      </c>
      <c r="Q11" s="66">
        <f t="shared" si="14"/>
        <v>0.17142857142857143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76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2" x14ac:dyDescent="0.3">
      <c r="A17" s="21" t="s">
        <v>83</v>
      </c>
      <c r="B17" s="22" t="s">
        <v>71</v>
      </c>
      <c r="C17" s="23">
        <v>50</v>
      </c>
      <c r="D17" s="23" t="s">
        <v>16</v>
      </c>
      <c r="E17" s="24">
        <v>33</v>
      </c>
      <c r="F17" s="3"/>
      <c r="H17"/>
      <c r="I17"/>
      <c r="J17" s="3"/>
      <c r="K17" s="3"/>
      <c r="L17" s="3"/>
    </row>
    <row r="18" spans="1:12" x14ac:dyDescent="0.3">
      <c r="A18" s="25" t="s">
        <v>71</v>
      </c>
      <c r="B18" s="6" t="s">
        <v>77</v>
      </c>
      <c r="C18" s="7">
        <v>48</v>
      </c>
      <c r="D18" s="7" t="s">
        <v>16</v>
      </c>
      <c r="E18" s="26">
        <v>43</v>
      </c>
      <c r="F18" s="3"/>
      <c r="H18"/>
      <c r="I18"/>
      <c r="J18" s="3"/>
      <c r="K18" s="3"/>
      <c r="L18" s="3"/>
    </row>
    <row r="19" spans="1:12" ht="15" thickBot="1" x14ac:dyDescent="0.35">
      <c r="A19" s="27" t="s">
        <v>53</v>
      </c>
      <c r="B19" s="28" t="s">
        <v>41</v>
      </c>
      <c r="C19" s="29">
        <v>58</v>
      </c>
      <c r="D19" s="29" t="s">
        <v>16</v>
      </c>
      <c r="E19" s="30">
        <v>28</v>
      </c>
      <c r="F19" s="3"/>
    </row>
    <row r="20" spans="1:12" x14ac:dyDescent="0.3">
      <c r="F20" s="3"/>
      <c r="H20"/>
      <c r="I20"/>
    </row>
    <row r="21" spans="1:12" x14ac:dyDescent="0.3">
      <c r="F21" s="3"/>
      <c r="H21"/>
      <c r="I21"/>
    </row>
    <row r="22" spans="1:12" ht="15" thickBot="1" x14ac:dyDescent="0.35">
      <c r="A22" s="20" t="s">
        <v>104</v>
      </c>
      <c r="F22" s="3"/>
      <c r="H22"/>
      <c r="I22"/>
    </row>
    <row r="23" spans="1:12" x14ac:dyDescent="0.3">
      <c r="A23" s="21" t="s">
        <v>53</v>
      </c>
      <c r="B23" s="22" t="s">
        <v>42</v>
      </c>
      <c r="C23" s="23">
        <v>58</v>
      </c>
      <c r="D23" s="23" t="str">
        <f>D17</f>
        <v>:</v>
      </c>
      <c r="E23" s="24">
        <v>54</v>
      </c>
      <c r="H23"/>
      <c r="I23"/>
      <c r="J23" s="3"/>
      <c r="K23" s="3"/>
      <c r="L23" s="3"/>
    </row>
    <row r="24" spans="1:12" x14ac:dyDescent="0.3">
      <c r="A24" s="25" t="s">
        <v>77</v>
      </c>
      <c r="B24" s="6" t="s">
        <v>83</v>
      </c>
      <c r="C24" s="7">
        <v>35</v>
      </c>
      <c r="D24" s="7" t="str">
        <f>D18</f>
        <v>:</v>
      </c>
      <c r="E24" s="26">
        <v>65</v>
      </c>
      <c r="H24"/>
      <c r="I24"/>
      <c r="J24" s="3"/>
      <c r="K24" s="3"/>
      <c r="L24" s="3"/>
    </row>
    <row r="25" spans="1:12" x14ac:dyDescent="0.3">
      <c r="A25" s="25" t="s">
        <v>71</v>
      </c>
      <c r="B25" s="6" t="s">
        <v>41</v>
      </c>
      <c r="C25" s="7">
        <v>43</v>
      </c>
      <c r="D25" s="7" t="s">
        <v>16</v>
      </c>
      <c r="E25" s="26">
        <v>33</v>
      </c>
    </row>
    <row r="26" spans="1:12" ht="15" thickBot="1" x14ac:dyDescent="0.35">
      <c r="A26" s="27" t="s">
        <v>42</v>
      </c>
      <c r="B26" s="28" t="s">
        <v>71</v>
      </c>
      <c r="C26" s="29">
        <v>37</v>
      </c>
      <c r="D26" s="29" t="s">
        <v>16</v>
      </c>
      <c r="E26" s="30">
        <v>58</v>
      </c>
    </row>
    <row r="29" spans="1:12" ht="15" thickBot="1" x14ac:dyDescent="0.35">
      <c r="A29" s="20" t="s">
        <v>141</v>
      </c>
    </row>
    <row r="30" spans="1:12" x14ac:dyDescent="0.3">
      <c r="A30" s="21" t="s">
        <v>83</v>
      </c>
      <c r="B30" s="22" t="s">
        <v>42</v>
      </c>
      <c r="C30" s="23">
        <v>77</v>
      </c>
      <c r="D30" s="23" t="s">
        <v>16</v>
      </c>
      <c r="E30" s="24">
        <v>26</v>
      </c>
      <c r="H30"/>
      <c r="I30"/>
      <c r="J30" s="3"/>
      <c r="K30" s="3"/>
      <c r="L30" s="3"/>
    </row>
    <row r="31" spans="1:12" x14ac:dyDescent="0.3">
      <c r="A31" s="25" t="s">
        <v>53</v>
      </c>
      <c r="B31" s="6" t="s">
        <v>77</v>
      </c>
      <c r="C31" s="7">
        <v>48</v>
      </c>
      <c r="D31" s="7" t="s">
        <v>16</v>
      </c>
      <c r="E31" s="26">
        <v>50</v>
      </c>
    </row>
    <row r="32" spans="1:12" ht="15" thickBot="1" x14ac:dyDescent="0.35">
      <c r="A32" s="27" t="s">
        <v>77</v>
      </c>
      <c r="B32" s="28" t="s">
        <v>41</v>
      </c>
      <c r="C32" s="29">
        <v>42</v>
      </c>
      <c r="D32" s="29" t="s">
        <v>16</v>
      </c>
      <c r="E32" s="30">
        <v>43</v>
      </c>
    </row>
    <row r="35" spans="1:12" ht="15" thickBot="1" x14ac:dyDescent="0.35">
      <c r="A35" s="20" t="s">
        <v>145</v>
      </c>
    </row>
    <row r="36" spans="1:12" x14ac:dyDescent="0.3">
      <c r="A36" s="21" t="s">
        <v>42</v>
      </c>
      <c r="B36" s="22" t="s">
        <v>41</v>
      </c>
      <c r="C36" s="23">
        <v>49</v>
      </c>
      <c r="D36" s="23" t="s">
        <v>16</v>
      </c>
      <c r="E36" s="24">
        <v>49</v>
      </c>
    </row>
    <row r="37" spans="1:12" x14ac:dyDescent="0.3">
      <c r="A37" s="25" t="s">
        <v>41</v>
      </c>
      <c r="B37" s="6" t="s">
        <v>83</v>
      </c>
      <c r="C37" s="7">
        <v>29</v>
      </c>
      <c r="D37" s="7" t="s">
        <v>16</v>
      </c>
      <c r="E37" s="26">
        <v>69</v>
      </c>
    </row>
    <row r="38" spans="1:12" ht="15" thickBot="1" x14ac:dyDescent="0.35">
      <c r="A38" s="27" t="s">
        <v>53</v>
      </c>
      <c r="B38" s="28" t="s">
        <v>71</v>
      </c>
      <c r="C38" s="29">
        <v>35</v>
      </c>
      <c r="D38" s="29" t="s">
        <v>16</v>
      </c>
      <c r="E38" s="30">
        <v>55</v>
      </c>
    </row>
    <row r="40" spans="1:12" x14ac:dyDescent="0.3">
      <c r="H40" s="41"/>
      <c r="I40"/>
    </row>
    <row r="41" spans="1:12" ht="15" thickBot="1" x14ac:dyDescent="0.35">
      <c r="A41" s="20" t="s">
        <v>147</v>
      </c>
      <c r="G41" s="42"/>
      <c r="H41"/>
      <c r="I41"/>
      <c r="J41" s="3"/>
      <c r="K41" s="3"/>
      <c r="L41" s="3"/>
    </row>
    <row r="42" spans="1:12" x14ac:dyDescent="0.3">
      <c r="A42" s="21" t="s">
        <v>83</v>
      </c>
      <c r="B42" s="22" t="s">
        <v>53</v>
      </c>
      <c r="C42" s="23">
        <v>64</v>
      </c>
      <c r="D42" s="23" t="s">
        <v>16</v>
      </c>
      <c r="E42" s="24">
        <v>34</v>
      </c>
      <c r="H42"/>
      <c r="I42"/>
      <c r="J42" s="3"/>
      <c r="K42" s="3"/>
      <c r="L42" s="3"/>
    </row>
    <row r="43" spans="1:12" ht="15" thickBot="1" x14ac:dyDescent="0.35">
      <c r="A43" s="27" t="s">
        <v>77</v>
      </c>
      <c r="B43" s="28" t="s">
        <v>42</v>
      </c>
      <c r="C43" s="29">
        <v>52</v>
      </c>
      <c r="D43" s="29" t="s">
        <v>16</v>
      </c>
      <c r="E43" s="30">
        <v>55</v>
      </c>
      <c r="H43"/>
      <c r="I43"/>
      <c r="J43" s="3"/>
      <c r="K43" s="3"/>
      <c r="L43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E4D6F-0796-4525-9C46-90CE82C4739E}">
  <sheetPr codeName="Sheet10">
    <tabColor rgb="FF0070C0"/>
  </sheetPr>
  <dimension ref="A1:AG50"/>
  <sheetViews>
    <sheetView topLeftCell="G1" workbookViewId="0">
      <selection activeCell="H21" sqref="H21"/>
    </sheetView>
  </sheetViews>
  <sheetFormatPr defaultRowHeight="14.4" x14ac:dyDescent="0.3"/>
  <cols>
    <col min="1" max="1" width="28.77734375" bestFit="1" customWidth="1"/>
    <col min="2" max="2" width="13.777343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3.77734375" style="3" bestFit="1" customWidth="1"/>
    <col min="9" max="9" width="6.6640625" style="3" bestFit="1" customWidth="1"/>
    <col min="10" max="10" width="4.33203125" bestFit="1" customWidth="1"/>
    <col min="11" max="11" width="5.33203125" bestFit="1" customWidth="1"/>
    <col min="12" max="12" width="4.7773437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4.441406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39" t="s">
        <v>94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95</v>
      </c>
    </row>
    <row r="3" spans="1:33" x14ac:dyDescent="0.3">
      <c r="A3" s="14" t="s">
        <v>9</v>
      </c>
      <c r="B3" s="19"/>
      <c r="H3" s="13" t="s">
        <v>10</v>
      </c>
      <c r="W3" s="12" t="str">
        <f t="shared" ref="W3:W9" si="0">A4</f>
        <v>Johannesburg B</v>
      </c>
      <c r="X3" s="2" cm="1">
        <f t="array" ref="X3">SUM(($A$17:$A$623=W3)*(ISNUMBER($C$17:$C$623)),($B$17:$B$623=W3)*(ISNUMBER($E$17:$E$623)))</f>
        <v>6</v>
      </c>
      <c r="Y3" s="3" cm="1">
        <f t="array" ref="Y3">SUMPRODUCT(($A$17:$A$623=W3)*($C$17:$C$623&gt;$E$17:$E$623)) +
 SUMPRODUCT(($B$17:$B$623=W3)*($E$17:$E$623&gt;$C$17:$C$623))</f>
        <v>4</v>
      </c>
      <c r="Z3" s="3" cm="1">
        <f t="array" ref="Z3">SUM(($A$17:$A$623=W3)*($C$17:$C$623=$E$17:$E$623)*ISNUMBER($E$17:$E$623),($B$17:$B$623=W3)*($E$17:$E$623=$C$17:$C$623)*ISNUMBER($C$17:$C$623))</f>
        <v>0</v>
      </c>
      <c r="AA3" s="3" cm="1">
        <f t="array" ref="AA3">SUM(($A$17:$A$623=W3)*($C$17:$C$623&lt;$E$17:$E$623),($B$17:$B$623=W3)*($E$17:$E$623&lt;$C$17:$C$623))</f>
        <v>2</v>
      </c>
      <c r="AB3" s="4">
        <f>SUMIF($A$17:$A$623,W3,$C$17:$C$623)+SUMIF($B$17:$B$623,W3,$E$17:$E$623)</f>
        <v>267</v>
      </c>
      <c r="AC3" s="5">
        <f>SUMIF($A$17:$A$623,W3,$E$17:$E$623)+SUMIF($B$17:$B$623,W3,$C$17:$C$623)</f>
        <v>247</v>
      </c>
      <c r="AD3" s="3">
        <f>AB3-AC3</f>
        <v>20</v>
      </c>
      <c r="AE3" s="4">
        <f>Y3*Points!$B$2+Z3*Points!$B$3</f>
        <v>8</v>
      </c>
      <c r="AF3">
        <f>AB3+AD3*10000+AE3*100000000</f>
        <v>800200267</v>
      </c>
      <c r="AG3">
        <f>AB3/AC3/X3</f>
        <v>0.18016194331983806</v>
      </c>
    </row>
    <row r="4" spans="1:33" ht="28.8" x14ac:dyDescent="0.55000000000000004">
      <c r="A4" s="6" t="s">
        <v>36</v>
      </c>
      <c r="H4" s="123" t="s">
        <v>94</v>
      </c>
      <c r="I4" s="124"/>
      <c r="J4" s="124"/>
      <c r="K4" s="124"/>
      <c r="L4" s="124"/>
      <c r="M4" s="124"/>
      <c r="N4" s="124"/>
      <c r="O4" s="124"/>
      <c r="P4" s="124"/>
      <c r="Q4" s="124"/>
      <c r="W4" s="1" t="str">
        <f t="shared" si="0"/>
        <v>Mangaung B</v>
      </c>
      <c r="X4" s="2" cm="1">
        <f t="array" ref="X4">SUM(($A$17:$A$623=W4)*(ISNUMBER($C$17:$C$623)),($B$17:$B$623=W4)*(ISNUMBER($E$17:$E$623)))</f>
        <v>6</v>
      </c>
      <c r="Y4" s="3" cm="1">
        <f t="array" ref="Y4">SUMPRODUCT(($A$17:$A$623=W4)*($C$17:$C$623&gt;$E$17:$E$623)) +
 SUMPRODUCT(($B$17:$B$623=W4)*($E$17:$E$623&gt;$C$17:$C$623))</f>
        <v>4</v>
      </c>
      <c r="Z4" s="3" cm="1">
        <f t="array" ref="Z4">SUM(($A$17:$A$623=W4)*($C$17:$C$623=$E$17:$E$623)*ISNUMBER($E$17:$E$623),($B$17:$B$623=W4)*($E$17:$E$623=$C$17:$C$623)*ISNUMBER($C$17:$C$623))</f>
        <v>0</v>
      </c>
      <c r="AA4" s="3" cm="1">
        <f t="array" ref="AA4">SUM(($A$17:$A$623=W4)*($C$17:$C$623&lt;$E$17:$E$623),($B$17:$B$623=W4)*($E$17:$E$623&lt;$C$17:$C$623))</f>
        <v>2</v>
      </c>
      <c r="AB4" s="4">
        <f>SUMIF($A$17:$A$623,W4,$C$17:$C$623)+SUMIF($B$17:$B$623,W4,$E$17:$E$623)</f>
        <v>242</v>
      </c>
      <c r="AC4" s="5">
        <f>SUMIF($A$17:$A$623,W4,$E$17:$E$623)+SUMIF($B$17:$B$623,W4,$C$17:$C$623)</f>
        <v>236</v>
      </c>
      <c r="AD4" s="3">
        <f t="shared" ref="AD4" si="1">AB4-AC4</f>
        <v>6</v>
      </c>
      <c r="AE4" s="4">
        <f>Y4*Points!$B$2+Z4*Points!$B$3</f>
        <v>8</v>
      </c>
      <c r="AF4">
        <f t="shared" ref="AF4" si="2">AB4+AD4*10000+AE4*100000000</f>
        <v>800060242</v>
      </c>
      <c r="AG4">
        <f t="shared" ref="AG4:AG9" si="3">AB4/AC4/X4</f>
        <v>0.17090395480225987</v>
      </c>
    </row>
    <row r="5" spans="1:33" x14ac:dyDescent="0.3">
      <c r="A5" s="6" t="s">
        <v>79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2" t="s">
        <v>102</v>
      </c>
      <c r="W5" s="1" t="str">
        <f t="shared" si="0"/>
        <v>Cape Town B</v>
      </c>
      <c r="X5" s="2" cm="1">
        <f t="array" ref="X5">SUM(($A$17:$A$623=W5)*(ISNUMBER($C$17:$C$623)),($B$17:$B$623=W5)*(ISNUMBER($E$17:$E$623)))</f>
        <v>6</v>
      </c>
      <c r="Y5" s="3" cm="1">
        <f t="array" ref="Y5">SUMPRODUCT(($A$17:$A$623=W5)*($C$17:$C$623&gt;$E$17:$E$623)) +
 SUMPRODUCT(($B$17:$B$623=W5)*($E$17:$E$623&gt;$C$17:$C$623))</f>
        <v>5</v>
      </c>
      <c r="Z5" s="3" cm="1">
        <f t="array" ref="Z5">SUM(($A$17:$A$623=W5)*($C$17:$C$623=$E$17:$E$623)*ISNUMBER($E$17:$E$623),($B$17:$B$623=W5)*($E$17:$E$623=$C$17:$C$623)*ISNUMBER($C$17:$C$623))</f>
        <v>0</v>
      </c>
      <c r="AA5" s="3" cm="1">
        <f t="array" ref="AA5">SUM(($A$17:$A$623=W5)*($C$17:$C$623&lt;$E$17:$E$623),($B$17:$B$623=W5)*($E$17:$E$623&lt;$C$17:$C$623))</f>
        <v>1</v>
      </c>
      <c r="AB5" s="4">
        <f>SUMIF($A$17:$A$623,W5,$C$17:$C$623)+SUMIF($B$17:$B$623,W5,$E$17:$E$623)</f>
        <v>313</v>
      </c>
      <c r="AC5" s="5">
        <f>SUMIF($A$17:$A$623,W5,$E$17:$E$623)+SUMIF($B$17:$B$623,W5,$C$17:$C$623)</f>
        <v>217</v>
      </c>
      <c r="AD5" s="3">
        <f>AB5-AC5</f>
        <v>96</v>
      </c>
      <c r="AE5" s="4">
        <f>Y5*Points!$B$2+Z5*Points!$B$3</f>
        <v>10</v>
      </c>
      <c r="AF5">
        <f>AB5+AD5*10000+AE5*100000000</f>
        <v>1000960313</v>
      </c>
      <c r="AG5">
        <f t="shared" si="3"/>
        <v>0.24039938556067589</v>
      </c>
    </row>
    <row r="6" spans="1:33" x14ac:dyDescent="0.3">
      <c r="A6" s="6" t="s">
        <v>29</v>
      </c>
      <c r="H6" s="6" t="str" cm="1">
        <f t="array" ref="H6">INDEX($W$3:$W$9,MATCH(LARGE($AF$3:$AF$9-ROW($AF$3:$AF$9)/COUNT($AF$3:$AF$9),ROW(H6)-ROW(H$6)+1),$AF$3:$AF$9-ROW($AF$3:$AF$9)/COUNT($AF$3:$AF$9),0))</f>
        <v>Cape Town B</v>
      </c>
      <c r="I6" s="7">
        <f>VLOOKUP($H6,$W$3:$AE$9,2,0)</f>
        <v>6</v>
      </c>
      <c r="J6" s="7">
        <f>VLOOKUP($H6,$W$3:$AE$9,3,0)</f>
        <v>5</v>
      </c>
      <c r="K6" s="7">
        <f t="shared" ref="K6:K12" si="4">VLOOKUP($H6,$W$3:$AE$9,5,0)</f>
        <v>1</v>
      </c>
      <c r="L6" s="7">
        <f t="shared" ref="L6:L12" si="5">VLOOKUP($H6,$W$3:$AE$9,4,0)</f>
        <v>0</v>
      </c>
      <c r="M6" s="7">
        <f t="shared" ref="M6:M12" si="6">VLOOKUP($H6,$W$3:$AE$9,9,0)</f>
        <v>10</v>
      </c>
      <c r="N6" s="7">
        <f t="shared" ref="N6:N12" si="7">VLOOKUP($H6,$W$3:$AE$9,6,0)</f>
        <v>313</v>
      </c>
      <c r="O6" s="7">
        <f t="shared" ref="O6:O12" si="8">VLOOKUP($H6,$W$3:$AE$9,7,0)</f>
        <v>217</v>
      </c>
      <c r="P6" s="7">
        <f t="shared" ref="P6:P12" si="9">VLOOKUP($H6,$W$3:$AE$9,8,0)</f>
        <v>96</v>
      </c>
      <c r="Q6" s="66">
        <f t="shared" ref="Q6:Q12" si="10">VLOOKUP($H6,$W$3:$AG$9,11,0)</f>
        <v>0.24039938556067589</v>
      </c>
      <c r="W6" s="1" t="str">
        <f t="shared" si="0"/>
        <v>Zululand</v>
      </c>
      <c r="X6" s="2" cm="1">
        <f t="array" ref="X6">SUM(($A$17:$A$623=W6)*(ISNUMBER($C$17:$C$623)),($B$17:$B$623=W6)*(ISNUMBER($E$17:$E$623)))</f>
        <v>6</v>
      </c>
      <c r="Y6" s="3" cm="1">
        <f t="array" ref="Y6">SUMPRODUCT(($A$17:$A$623=W6)*($C$17:$C$623&gt;$E$17:$E$623)) +
 SUMPRODUCT(($B$17:$B$623=W6)*($E$17:$E$623&gt;$C$17:$C$623))</f>
        <v>0</v>
      </c>
      <c r="Z6" s="3" cm="1">
        <f t="array" ref="Z6">SUM(($A$17:$A$623=W6)*($C$17:$C$623=$E$17:$E$623)*ISNUMBER($E$17:$E$623),($B$17:$B$623=W6)*($E$17:$E$623=$C$17:$C$623)*ISNUMBER($C$17:$C$623))</f>
        <v>0</v>
      </c>
      <c r="AA6" s="3" cm="1">
        <f t="array" ref="AA6">SUM(($A$17:$A$623=W6)*($C$17:$C$623&lt;$E$17:$E$623),($B$17:$B$623=W6)*($E$17:$E$623&lt;$C$17:$C$623))</f>
        <v>6</v>
      </c>
      <c r="AB6" s="4">
        <f>SUMIF($A$17:$A$623,W6,$C$17:$C$623)+SUMIF($B$17:$B$623,W6,$E$17:$E$623)</f>
        <v>210</v>
      </c>
      <c r="AC6" s="5">
        <f>SUMIF($A$17:$A$623,W6,$E$17:$E$623)+SUMIF($B$17:$B$623,W6,$C$17:$C$623)</f>
        <v>274</v>
      </c>
      <c r="AD6" s="3">
        <f t="shared" ref="AD6:AD9" si="11">AB6-AC6</f>
        <v>-64</v>
      </c>
      <c r="AE6" s="4">
        <f>Y6*Points!$B$2+Z6*Points!$B$3</f>
        <v>0</v>
      </c>
      <c r="AF6">
        <f t="shared" ref="AF6:AF9" si="12">AB6+AD6*10000+AE6*100000000</f>
        <v>-639790</v>
      </c>
      <c r="AG6">
        <f t="shared" si="3"/>
        <v>0.12773722627737225</v>
      </c>
    </row>
    <row r="7" spans="1:33" x14ac:dyDescent="0.3">
      <c r="A7" s="6" t="s">
        <v>76</v>
      </c>
      <c r="H7" s="6" t="str" cm="1">
        <f t="array" ref="H7">INDEX($W$3:$W$9,MATCH(LARGE($AF$3:$AF$9-ROW($AF$3:$AF$9)/COUNT($AF$3:$AF$9),ROW(H7)-ROW(H$6)+1),$AF$3:$AF$9-ROW($AF$3:$AF$9)/COUNT($AF$3:$AF$9),0))</f>
        <v>Ehlanzeni A</v>
      </c>
      <c r="I7" s="7">
        <f t="shared" ref="I7:I11" si="13">VLOOKUP($H7,$W$3:$AE$9,2,0)</f>
        <v>6</v>
      </c>
      <c r="J7" s="7">
        <f t="shared" ref="J7:J11" si="14">VLOOKUP($H7,$W$3:$AE$9,3,0)</f>
        <v>5</v>
      </c>
      <c r="K7" s="7">
        <f t="shared" si="4"/>
        <v>1</v>
      </c>
      <c r="L7" s="7">
        <f t="shared" si="5"/>
        <v>0</v>
      </c>
      <c r="M7" s="7">
        <f t="shared" si="6"/>
        <v>10</v>
      </c>
      <c r="N7" s="7">
        <f t="shared" si="7"/>
        <v>295</v>
      </c>
      <c r="O7" s="7">
        <f t="shared" si="8"/>
        <v>247</v>
      </c>
      <c r="P7" s="7">
        <f t="shared" si="9"/>
        <v>48</v>
      </c>
      <c r="Q7" s="66">
        <f t="shared" si="10"/>
        <v>0.19905533063427802</v>
      </c>
      <c r="W7" s="1" t="str">
        <f t="shared" si="0"/>
        <v>Ehlanzeni A</v>
      </c>
      <c r="X7" s="2" cm="1">
        <f t="array" ref="X7">SUM(($A$17:$A$623=W7)*(ISNUMBER($C$17:$C$623)),($B$17:$B$623=W7)*(ISNUMBER($E$17:$E$623)))</f>
        <v>6</v>
      </c>
      <c r="Y7" s="3" cm="1">
        <f t="array" ref="Y7">SUMPRODUCT(($A$17:$A$623=W7)*($C$17:$C$623&gt;$E$17:$E$623)) +
 SUMPRODUCT(($B$17:$B$623=W7)*($E$17:$E$623&gt;$C$17:$C$623))</f>
        <v>5</v>
      </c>
      <c r="Z7" s="3" cm="1">
        <f t="array" ref="Z7">SUM(($A$17:$A$623=W7)*($C$17:$C$623=$E$17:$E$623)*ISNUMBER($E$17:$E$623),($B$17:$B$623=W7)*($E$17:$E$623=$C$17:$C$623)*ISNUMBER($C$17:$C$623))</f>
        <v>0</v>
      </c>
      <c r="AA7" s="3" cm="1">
        <f t="array" ref="AA7">SUM(($A$17:$A$623=W7)*($C$17:$C$623&lt;$E$17:$E$623),($B$17:$B$623=W7)*($E$17:$E$623&lt;$C$17:$C$623))</f>
        <v>1</v>
      </c>
      <c r="AB7" s="4">
        <f>SUMIF($A$17:$A$623,W7,$C$17:$C$623)+SUMIF($B$17:$B$623,W7,$E$17:$E$623)</f>
        <v>295</v>
      </c>
      <c r="AC7" s="5">
        <f>SUMIF($A$17:$A$623,W7,$E$17:$E$623)+SUMIF($B$17:$B$623,W7,$C$17:$C$623)</f>
        <v>247</v>
      </c>
      <c r="AD7" s="3">
        <f t="shared" si="11"/>
        <v>48</v>
      </c>
      <c r="AE7" s="4">
        <f>Y7*Points!$B$2+Z7*Points!$B$3</f>
        <v>10</v>
      </c>
      <c r="AF7">
        <f t="shared" si="12"/>
        <v>1000480295</v>
      </c>
      <c r="AG7">
        <f t="shared" si="3"/>
        <v>0.19905533063427802</v>
      </c>
    </row>
    <row r="8" spans="1:33" x14ac:dyDescent="0.3">
      <c r="A8" s="6" t="s">
        <v>80</v>
      </c>
      <c r="H8" s="6" t="str" cm="1">
        <f t="array" ref="H8">INDEX($W$3:$W$9,MATCH(LARGE($AF$3:$AF$9-ROW($AF$3:$AF$9)/COUNT($AF$3:$AF$9),ROW(H8)-ROW(H$6)+1),$AF$3:$AF$9-ROW($AF$3:$AF$9)/COUNT($AF$3:$AF$9),0))</f>
        <v>Johannesburg B</v>
      </c>
      <c r="I8" s="7">
        <f t="shared" si="13"/>
        <v>6</v>
      </c>
      <c r="J8" s="7">
        <f t="shared" si="14"/>
        <v>4</v>
      </c>
      <c r="K8" s="7">
        <f t="shared" si="4"/>
        <v>2</v>
      </c>
      <c r="L8" s="7">
        <f t="shared" si="5"/>
        <v>0</v>
      </c>
      <c r="M8" s="7">
        <f t="shared" si="6"/>
        <v>8</v>
      </c>
      <c r="N8" s="7">
        <f t="shared" si="7"/>
        <v>267</v>
      </c>
      <c r="O8" s="7">
        <f t="shared" si="8"/>
        <v>247</v>
      </c>
      <c r="P8" s="7">
        <f t="shared" si="9"/>
        <v>20</v>
      </c>
      <c r="Q8" s="66">
        <f t="shared" si="10"/>
        <v>0.18016194331983806</v>
      </c>
      <c r="W8" s="1" t="str">
        <f t="shared" si="0"/>
        <v>eThekwini B</v>
      </c>
      <c r="X8" s="2" cm="1">
        <f t="array" ref="X8">SUM(($A$17:$A$623=W8)*(ISNUMBER($C$17:$C$623)),($B$17:$B$623=W8)*(ISNUMBER($E$17:$E$623)))</f>
        <v>6</v>
      </c>
      <c r="Y8" s="3" cm="1">
        <f t="array" ref="Y8">SUMPRODUCT(($A$17:$A$623=W8)*($C$17:$C$623&gt;$E$17:$E$623)) +
 SUMPRODUCT(($B$17:$B$623=W8)*($E$17:$E$623&gt;$C$17:$C$623))</f>
        <v>2</v>
      </c>
      <c r="Z8" s="3" cm="1">
        <f t="array" ref="Z8">SUM(($A$17:$A$623=W8)*($C$17:$C$623=$E$17:$E$623)*ISNUMBER($E$17:$E$623),($B$17:$B$623=W8)*($E$17:$E$623=$C$17:$C$623)*ISNUMBER($C$17:$C$623))</f>
        <v>0</v>
      </c>
      <c r="AA8" s="3" cm="1">
        <f t="array" ref="AA8">SUM(($A$17:$A$623=W8)*($C$17:$C$623&lt;$E$17:$E$623),($B$17:$B$623=W8)*($E$17:$E$623&lt;$C$17:$C$623))</f>
        <v>4</v>
      </c>
      <c r="AB8" s="4">
        <f>SUMIF($A$17:$A$623,W8,$C$17:$C$623)+SUMIF($B$17:$B$623,W8,$E$17:$E$623)</f>
        <v>243</v>
      </c>
      <c r="AC8" s="5">
        <f>SUMIF($A$17:$A$623,W8,$E$17:$E$623)+SUMIF($B$17:$B$623,W8,$C$17:$C$623)</f>
        <v>278</v>
      </c>
      <c r="AD8" s="3">
        <f t="shared" si="11"/>
        <v>-35</v>
      </c>
      <c r="AE8" s="4">
        <f>Y8*Points!$B$2+Z8*Points!$B$3</f>
        <v>4</v>
      </c>
      <c r="AF8">
        <f t="shared" si="12"/>
        <v>399650243</v>
      </c>
      <c r="AG8">
        <f t="shared" si="3"/>
        <v>0.14568345323741008</v>
      </c>
    </row>
    <row r="9" spans="1:33" x14ac:dyDescent="0.3">
      <c r="A9" s="6" t="s">
        <v>78</v>
      </c>
      <c r="H9" s="6" t="str" cm="1">
        <f t="array" ref="H9">INDEX($W$3:$W$9,MATCH(LARGE($AF$3:$AF$9-ROW($AF$3:$AF$9)/COUNT($AF$3:$AF$9),ROW(H9)-ROW(H$6)+1),$AF$3:$AF$9-ROW($AF$3:$AF$9)/COUNT($AF$3:$AF$9),0))</f>
        <v>Mangaung B</v>
      </c>
      <c r="I9" s="7">
        <f t="shared" si="13"/>
        <v>6</v>
      </c>
      <c r="J9" s="7">
        <f t="shared" si="14"/>
        <v>4</v>
      </c>
      <c r="K9" s="7">
        <f t="shared" si="4"/>
        <v>2</v>
      </c>
      <c r="L9" s="7">
        <f t="shared" si="5"/>
        <v>0</v>
      </c>
      <c r="M9" s="7">
        <f t="shared" si="6"/>
        <v>8</v>
      </c>
      <c r="N9" s="7">
        <f t="shared" si="7"/>
        <v>242</v>
      </c>
      <c r="O9" s="7">
        <f t="shared" si="8"/>
        <v>236</v>
      </c>
      <c r="P9" s="7">
        <f t="shared" si="9"/>
        <v>6</v>
      </c>
      <c r="Q9" s="66">
        <f t="shared" si="10"/>
        <v>0.17090395480225987</v>
      </c>
      <c r="W9" s="1" t="str">
        <f t="shared" si="0"/>
        <v>Capricorn A</v>
      </c>
      <c r="X9" s="2" cm="1">
        <f t="array" ref="X9">SUM(($A$17:$A$623=W9)*(ISNUMBER($C$17:$C$623)),($B$17:$B$623=W9)*(ISNUMBER($E$17:$E$623)))</f>
        <v>6</v>
      </c>
      <c r="Y9" s="3" cm="1">
        <f t="array" ref="Y9">SUMPRODUCT(($A$17:$A$623=W9)*($C$17:$C$623&gt;$E$17:$E$623)) +
 SUMPRODUCT(($B$17:$B$623=W9)*($E$17:$E$623&gt;$C$17:$C$623))</f>
        <v>1</v>
      </c>
      <c r="Z9" s="3" cm="1">
        <f t="array" ref="Z9">SUM(($A$17:$A$623=W9)*($C$17:$C$623=$E$17:$E$623)*ISNUMBER($E$17:$E$623),($B$17:$B$623=W9)*($E$17:$E$623=$C$17:$C$623)*ISNUMBER($C$17:$C$623))</f>
        <v>0</v>
      </c>
      <c r="AA9" s="3" cm="1">
        <f t="array" ref="AA9">SUM(($A$17:$A$623=W9)*($C$17:$C$623&lt;$E$17:$E$623),($B$17:$B$623=W9)*($E$17:$E$623&lt;$C$17:$C$623))</f>
        <v>5</v>
      </c>
      <c r="AB9" s="4">
        <f>SUMIF($A$17:$A$623,W9,$C$17:$C$623)+SUMIF($B$17:$B$623,W9,$E$17:$E$623)</f>
        <v>217</v>
      </c>
      <c r="AC9" s="5">
        <f>SUMIF($A$17:$A$623,W9,$E$17:$E$623)+SUMIF($B$17:$B$623,W9,$C$17:$C$623)</f>
        <v>288</v>
      </c>
      <c r="AD9" s="3">
        <f t="shared" si="11"/>
        <v>-71</v>
      </c>
      <c r="AE9" s="4">
        <f>Y9*Points!$B$2+Z9*Points!$B$3</f>
        <v>2</v>
      </c>
      <c r="AF9">
        <f t="shared" si="12"/>
        <v>199290217</v>
      </c>
      <c r="AG9">
        <f t="shared" si="3"/>
        <v>0.12557870370370369</v>
      </c>
    </row>
    <row r="10" spans="1:33" x14ac:dyDescent="0.3">
      <c r="A10" s="6" t="s">
        <v>37</v>
      </c>
      <c r="H10" s="6" t="str" cm="1">
        <f t="array" ref="H10">INDEX($W$3:$W$9,MATCH(LARGE($AF$3:$AF$9-ROW($AF$3:$AF$9)/COUNT($AF$3:$AF$9),ROW(H10)-ROW(H$6)+1),$AF$3:$AF$9-ROW($AF$3:$AF$9)/COUNT($AF$3:$AF$9),0))</f>
        <v>eThekwini B</v>
      </c>
      <c r="I10" s="7">
        <f t="shared" si="13"/>
        <v>6</v>
      </c>
      <c r="J10" s="7">
        <f t="shared" si="14"/>
        <v>2</v>
      </c>
      <c r="K10" s="7">
        <f t="shared" si="4"/>
        <v>4</v>
      </c>
      <c r="L10" s="7">
        <f t="shared" si="5"/>
        <v>0</v>
      </c>
      <c r="M10" s="7">
        <f t="shared" si="6"/>
        <v>4</v>
      </c>
      <c r="N10" s="7">
        <f t="shared" si="7"/>
        <v>243</v>
      </c>
      <c r="O10" s="7">
        <f t="shared" si="8"/>
        <v>278</v>
      </c>
      <c r="P10" s="7">
        <f t="shared" si="9"/>
        <v>-35</v>
      </c>
      <c r="Q10" s="66">
        <f t="shared" si="10"/>
        <v>0.14568345323741008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INDEX($W$3:$W$9,MATCH(LARGE($AF$3:$AF$9-ROW($AF$3:$AF$9)/COUNT($AF$3:$AF$9),ROW(H11)-ROW(H$6)+1),$AF$3:$AF$9-ROW($AF$3:$AF$9)/COUNT($AF$3:$AF$9),0))</f>
        <v>Capricorn A</v>
      </c>
      <c r="I11" s="7">
        <f t="shared" si="13"/>
        <v>6</v>
      </c>
      <c r="J11" s="7">
        <f t="shared" si="14"/>
        <v>1</v>
      </c>
      <c r="K11" s="7">
        <f t="shared" si="4"/>
        <v>5</v>
      </c>
      <c r="L11" s="7">
        <f t="shared" si="5"/>
        <v>0</v>
      </c>
      <c r="M11" s="7">
        <f t="shared" si="6"/>
        <v>2</v>
      </c>
      <c r="N11" s="7">
        <f t="shared" si="7"/>
        <v>217</v>
      </c>
      <c r="O11" s="7">
        <f t="shared" si="8"/>
        <v>288</v>
      </c>
      <c r="P11" s="7">
        <f t="shared" si="9"/>
        <v>-71</v>
      </c>
      <c r="Q11" s="66">
        <f t="shared" si="10"/>
        <v>0.12557870370370369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 s="6" t="str" cm="1">
        <f t="array" ref="H12">INDEX($W$3:$W$9,MATCH(LARGE($AF$3:$AF$9-ROW($AF$3:$AF$9)/COUNT($AF$3:$AF$9),ROW(H12)-ROW(H$6)+1),$AF$3:$AF$9-ROW($AF$3:$AF$9)/COUNT($AF$3:$AF$9),0))</f>
        <v>Zululand</v>
      </c>
      <c r="I12" s="7">
        <f>VLOOKUP($H12,$W$3:$AE$9,2,0)</f>
        <v>6</v>
      </c>
      <c r="J12" s="7">
        <f>VLOOKUP($H12,$W$3:$AE$9,3,0)</f>
        <v>0</v>
      </c>
      <c r="K12" s="7">
        <f t="shared" si="4"/>
        <v>6</v>
      </c>
      <c r="L12" s="7">
        <f t="shared" si="5"/>
        <v>0</v>
      </c>
      <c r="M12" s="7">
        <f t="shared" si="6"/>
        <v>0</v>
      </c>
      <c r="N12" s="7">
        <f t="shared" si="7"/>
        <v>210</v>
      </c>
      <c r="O12" s="7">
        <f t="shared" si="8"/>
        <v>274</v>
      </c>
      <c r="P12" s="7">
        <f t="shared" si="9"/>
        <v>-64</v>
      </c>
      <c r="Q12" s="66">
        <f t="shared" si="10"/>
        <v>0.12773722627737225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6" x14ac:dyDescent="0.3">
      <c r="A17" s="21" t="s">
        <v>79</v>
      </c>
      <c r="B17" s="22" t="s">
        <v>78</v>
      </c>
      <c r="C17" s="23">
        <v>47</v>
      </c>
      <c r="D17" s="23" t="s">
        <v>16</v>
      </c>
      <c r="E17" s="24">
        <v>35</v>
      </c>
      <c r="F17" s="3"/>
      <c r="H17"/>
      <c r="I17"/>
      <c r="J17" s="3"/>
      <c r="K17" s="3"/>
      <c r="L17" s="3"/>
    </row>
    <row r="18" spans="1:16" x14ac:dyDescent="0.3">
      <c r="A18" s="25" t="s">
        <v>29</v>
      </c>
      <c r="B18" s="6" t="s">
        <v>80</v>
      </c>
      <c r="C18" s="7">
        <v>46</v>
      </c>
      <c r="D18" s="7" t="s">
        <v>16</v>
      </c>
      <c r="E18" s="26">
        <v>48</v>
      </c>
      <c r="F18" s="3"/>
      <c r="H18"/>
      <c r="I18"/>
      <c r="J18" s="3"/>
      <c r="K18" s="3"/>
      <c r="L18" s="3"/>
    </row>
    <row r="19" spans="1:16" x14ac:dyDescent="0.3">
      <c r="A19" s="25" t="s">
        <v>37</v>
      </c>
      <c r="B19" s="6" t="s">
        <v>76</v>
      </c>
      <c r="C19" s="7">
        <v>45</v>
      </c>
      <c r="D19" s="7" t="s">
        <v>16</v>
      </c>
      <c r="E19" s="26">
        <v>43</v>
      </c>
      <c r="F19" s="3"/>
    </row>
    <row r="20" spans="1:16" ht="16.2" thickBot="1" x14ac:dyDescent="0.35">
      <c r="A20" s="27" t="s">
        <v>36</v>
      </c>
      <c r="B20" s="28" t="s">
        <v>37</v>
      </c>
      <c r="C20" s="29">
        <v>49</v>
      </c>
      <c r="D20" s="29" t="s">
        <v>16</v>
      </c>
      <c r="E20" s="30">
        <v>31</v>
      </c>
      <c r="F20" s="3"/>
      <c r="H20" s="78"/>
      <c r="I20" s="78"/>
      <c r="J20" s="78"/>
      <c r="K20" s="78"/>
      <c r="L20" s="78"/>
      <c r="M20" s="78"/>
      <c r="N20" s="78"/>
      <c r="O20" s="78"/>
      <c r="P20" s="78"/>
    </row>
    <row r="21" spans="1:16" x14ac:dyDescent="0.3">
      <c r="F21" s="3"/>
      <c r="H21"/>
      <c r="I21"/>
    </row>
    <row r="22" spans="1:16" x14ac:dyDescent="0.3">
      <c r="F22" s="3"/>
      <c r="H22"/>
      <c r="I22"/>
    </row>
    <row r="23" spans="1:16" ht="15" thickBot="1" x14ac:dyDescent="0.35">
      <c r="A23" s="20" t="s">
        <v>104</v>
      </c>
      <c r="F23" s="3"/>
      <c r="H23"/>
      <c r="I23"/>
    </row>
    <row r="24" spans="1:16" x14ac:dyDescent="0.3">
      <c r="A24" s="21" t="s">
        <v>76</v>
      </c>
      <c r="B24" s="22" t="s">
        <v>29</v>
      </c>
      <c r="C24" s="23">
        <v>32</v>
      </c>
      <c r="D24" s="23" t="str">
        <f>D17</f>
        <v>:</v>
      </c>
      <c r="E24" s="24">
        <v>60</v>
      </c>
      <c r="H24"/>
      <c r="I24"/>
      <c r="J24" s="3"/>
      <c r="K24" s="3"/>
      <c r="L24" s="3"/>
    </row>
    <row r="25" spans="1:16" x14ac:dyDescent="0.3">
      <c r="A25" s="25" t="s">
        <v>79</v>
      </c>
      <c r="B25" s="6" t="s">
        <v>36</v>
      </c>
      <c r="C25" s="7">
        <v>44</v>
      </c>
      <c r="D25" s="7" t="str">
        <f>D18</f>
        <v>:</v>
      </c>
      <c r="E25" s="26">
        <v>41</v>
      </c>
      <c r="H25"/>
      <c r="I25"/>
      <c r="J25" s="3"/>
      <c r="K25" s="3"/>
      <c r="L25" s="3"/>
    </row>
    <row r="26" spans="1:16" x14ac:dyDescent="0.3">
      <c r="A26" s="25" t="s">
        <v>78</v>
      </c>
      <c r="B26" s="6" t="s">
        <v>37</v>
      </c>
      <c r="C26" s="7">
        <v>41</v>
      </c>
      <c r="D26" s="7" t="str">
        <f>D19</f>
        <v>:</v>
      </c>
      <c r="E26" s="26">
        <v>36</v>
      </c>
    </row>
    <row r="27" spans="1:16" x14ac:dyDescent="0.3">
      <c r="A27" s="25" t="s">
        <v>80</v>
      </c>
      <c r="B27" s="6" t="s">
        <v>76</v>
      </c>
      <c r="C27" s="7">
        <v>44</v>
      </c>
      <c r="D27" s="7" t="str">
        <f>D20</f>
        <v>:</v>
      </c>
      <c r="E27" s="26">
        <v>35</v>
      </c>
    </row>
    <row r="28" spans="1:16" ht="15" thickBot="1" x14ac:dyDescent="0.35">
      <c r="A28" s="27" t="s">
        <v>29</v>
      </c>
      <c r="B28" s="28" t="s">
        <v>78</v>
      </c>
      <c r="C28" s="29">
        <v>51</v>
      </c>
      <c r="D28" s="29" t="s">
        <v>16</v>
      </c>
      <c r="E28" s="30">
        <v>35</v>
      </c>
    </row>
    <row r="31" spans="1:16" ht="15" thickBot="1" x14ac:dyDescent="0.35">
      <c r="A31" s="20" t="s">
        <v>141</v>
      </c>
    </row>
    <row r="32" spans="1:16" x14ac:dyDescent="0.3">
      <c r="A32" s="21" t="s">
        <v>78</v>
      </c>
      <c r="B32" s="22" t="s">
        <v>36</v>
      </c>
      <c r="C32" s="23">
        <v>45</v>
      </c>
      <c r="D32" s="23" t="s">
        <v>16</v>
      </c>
      <c r="E32" s="24">
        <v>52</v>
      </c>
      <c r="H32"/>
      <c r="I32"/>
      <c r="J32" s="3"/>
      <c r="K32" s="3"/>
      <c r="L32" s="3"/>
    </row>
    <row r="33" spans="1:12" x14ac:dyDescent="0.3">
      <c r="A33" s="25" t="s">
        <v>29</v>
      </c>
      <c r="B33" s="6" t="s">
        <v>79</v>
      </c>
      <c r="C33" s="7">
        <v>46</v>
      </c>
      <c r="D33" s="7" t="s">
        <v>16</v>
      </c>
      <c r="E33" s="26">
        <v>31</v>
      </c>
      <c r="H33"/>
      <c r="I33"/>
      <c r="J33" s="3"/>
      <c r="K33" s="3"/>
      <c r="L33" s="3"/>
    </row>
    <row r="34" spans="1:12" x14ac:dyDescent="0.3">
      <c r="A34" s="25" t="s">
        <v>37</v>
      </c>
      <c r="B34" s="6" t="s">
        <v>80</v>
      </c>
      <c r="C34" s="7">
        <v>41</v>
      </c>
      <c r="D34" s="7" t="s">
        <v>16</v>
      </c>
      <c r="E34" s="26">
        <v>55</v>
      </c>
    </row>
    <row r="35" spans="1:12" x14ac:dyDescent="0.3">
      <c r="A35" s="25" t="s">
        <v>36</v>
      </c>
      <c r="B35" s="6" t="s">
        <v>76</v>
      </c>
      <c r="C35" s="7">
        <v>42</v>
      </c>
      <c r="D35" s="7" t="s">
        <v>16</v>
      </c>
      <c r="E35" s="26">
        <v>31</v>
      </c>
    </row>
    <row r="36" spans="1:12" x14ac:dyDescent="0.3">
      <c r="A36" s="25" t="s">
        <v>79</v>
      </c>
      <c r="B36" s="6" t="s">
        <v>37</v>
      </c>
      <c r="C36" s="7">
        <v>45</v>
      </c>
      <c r="D36" s="7" t="s">
        <v>16</v>
      </c>
      <c r="E36" s="26">
        <v>30</v>
      </c>
    </row>
    <row r="37" spans="1:12" ht="15" thickBot="1" x14ac:dyDescent="0.35">
      <c r="A37" s="27" t="s">
        <v>80</v>
      </c>
      <c r="B37" s="28" t="s">
        <v>78</v>
      </c>
      <c r="C37" s="29">
        <v>56</v>
      </c>
      <c r="D37" s="29" t="s">
        <v>16</v>
      </c>
      <c r="E37" s="30">
        <v>43</v>
      </c>
    </row>
    <row r="41" spans="1:12" ht="15" thickBot="1" x14ac:dyDescent="0.35">
      <c r="A41" s="20" t="s">
        <v>145</v>
      </c>
    </row>
    <row r="42" spans="1:12" x14ac:dyDescent="0.3">
      <c r="A42" s="21" t="s">
        <v>80</v>
      </c>
      <c r="B42" s="22" t="s">
        <v>36</v>
      </c>
      <c r="C42" s="23">
        <v>41</v>
      </c>
      <c r="D42" s="23" t="s">
        <v>16</v>
      </c>
      <c r="E42" s="24">
        <v>46</v>
      </c>
    </row>
    <row r="43" spans="1:12" x14ac:dyDescent="0.3">
      <c r="A43" s="25" t="s">
        <v>78</v>
      </c>
      <c r="B43" s="6" t="s">
        <v>76</v>
      </c>
      <c r="C43" s="7">
        <v>44</v>
      </c>
      <c r="D43" s="7" t="s">
        <v>16</v>
      </c>
      <c r="E43" s="26">
        <v>36</v>
      </c>
    </row>
    <row r="44" spans="1:12" x14ac:dyDescent="0.3">
      <c r="A44" s="25" t="s">
        <v>29</v>
      </c>
      <c r="B44" s="6" t="s">
        <v>37</v>
      </c>
      <c r="C44" s="7">
        <v>55</v>
      </c>
      <c r="D44" s="7" t="s">
        <v>16</v>
      </c>
      <c r="E44" s="26">
        <v>34</v>
      </c>
    </row>
    <row r="45" spans="1:12" ht="15" thickBot="1" x14ac:dyDescent="0.35">
      <c r="A45" s="27" t="s">
        <v>79</v>
      </c>
      <c r="B45" s="28" t="s">
        <v>80</v>
      </c>
      <c r="C45" s="29">
        <v>36</v>
      </c>
      <c r="D45" s="29" t="s">
        <v>16</v>
      </c>
      <c r="E45" s="30">
        <v>51</v>
      </c>
    </row>
    <row r="47" spans="1:12" x14ac:dyDescent="0.3">
      <c r="H47" s="41"/>
      <c r="I47"/>
    </row>
    <row r="48" spans="1:12" ht="15" thickBot="1" x14ac:dyDescent="0.35">
      <c r="A48" s="20" t="s">
        <v>147</v>
      </c>
      <c r="G48" s="42"/>
      <c r="H48"/>
      <c r="I48"/>
      <c r="J48" s="3"/>
      <c r="K48" s="3"/>
      <c r="L48" s="3"/>
    </row>
    <row r="49" spans="1:12" x14ac:dyDescent="0.3">
      <c r="A49" s="21" t="s">
        <v>36</v>
      </c>
      <c r="B49" s="22" t="s">
        <v>29</v>
      </c>
      <c r="C49" s="23">
        <v>37</v>
      </c>
      <c r="D49" s="23" t="s">
        <v>16</v>
      </c>
      <c r="E49" s="24">
        <v>55</v>
      </c>
      <c r="H49"/>
      <c r="I49"/>
      <c r="J49" s="3"/>
      <c r="K49" s="3"/>
      <c r="L49" s="3"/>
    </row>
    <row r="50" spans="1:12" x14ac:dyDescent="0.3">
      <c r="A50" s="25" t="s">
        <v>76</v>
      </c>
      <c r="B50" s="6" t="s">
        <v>79</v>
      </c>
      <c r="C50" s="7">
        <v>33</v>
      </c>
      <c r="D50" s="7" t="s">
        <v>16</v>
      </c>
      <c r="E50" s="26">
        <v>39</v>
      </c>
      <c r="H50"/>
      <c r="I50"/>
      <c r="J50" s="3"/>
      <c r="K50" s="3"/>
      <c r="L50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0A457-7C96-47A6-8D6B-0B8860BAE7E6}">
  <sheetPr codeName="Sheet1">
    <tabColor rgb="FFFFFF00"/>
  </sheetPr>
  <dimension ref="A1:AG57"/>
  <sheetViews>
    <sheetView topLeftCell="G1" workbookViewId="0">
      <selection activeCell="E57" sqref="E57"/>
    </sheetView>
  </sheetViews>
  <sheetFormatPr defaultRowHeight="14.4" x14ac:dyDescent="0.3"/>
  <cols>
    <col min="1" max="1" width="17.88671875" bestFit="1" customWidth="1"/>
    <col min="2" max="2" width="18.33203125" bestFit="1" customWidth="1"/>
    <col min="3" max="5" width="3.88671875" customWidth="1"/>
    <col min="6" max="6" width="8.33203125" customWidth="1"/>
    <col min="7" max="7" width="10" style="3" bestFit="1" customWidth="1"/>
    <col min="8" max="8" width="17.88671875" style="3" bestFit="1" customWidth="1"/>
    <col min="9" max="9" width="17" style="3" customWidth="1"/>
    <col min="10" max="12" width="5" customWidth="1"/>
    <col min="13" max="14" width="7" bestFit="1" customWidth="1"/>
    <col min="15" max="15" width="6.6640625" bestFit="1" customWidth="1"/>
    <col min="16" max="16" width="10" bestFit="1" customWidth="1"/>
    <col min="17" max="17" width="12" bestFit="1" customWidth="1"/>
    <col min="21" max="21" width="11.44140625" customWidth="1"/>
    <col min="23" max="23" width="19" hidden="1" customWidth="1"/>
    <col min="24" max="24" width="3.44140625" hidden="1" customWidth="1"/>
    <col min="25" max="25" width="2.88671875" hidden="1" customWidth="1"/>
    <col min="26" max="26" width="2.33203125" hidden="1" customWidth="1"/>
    <col min="27" max="27" width="2" hidden="1" customWidth="1"/>
    <col min="28" max="28" width="5.33203125" hidden="1" customWidth="1"/>
    <col min="29" max="29" width="4" hidden="1" customWidth="1"/>
    <col min="30" max="30" width="4.6640625" hidden="1" customWidth="1"/>
    <col min="31" max="31" width="5.33203125" hidden="1" customWidth="1"/>
    <col min="32" max="32" width="11.44140625" hidden="1" customWidth="1"/>
    <col min="33" max="33" width="9.109375" hidden="1" customWidth="1"/>
  </cols>
  <sheetData>
    <row r="1" spans="1:33" ht="29.4" thickBot="1" x14ac:dyDescent="0.6">
      <c r="A1" s="38" t="s">
        <v>81</v>
      </c>
      <c r="P1" s="78"/>
      <c r="Q1" s="78"/>
      <c r="R1" s="78"/>
      <c r="S1" s="78"/>
      <c r="T1" s="78"/>
      <c r="U1" s="78"/>
      <c r="V1" s="78"/>
      <c r="W1" s="78" t="s">
        <v>6</v>
      </c>
      <c r="X1" s="78" t="s">
        <v>96</v>
      </c>
      <c r="Y1" s="78" t="s">
        <v>96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Johannesburg A</v>
      </c>
      <c r="X3" s="2" cm="1">
        <f t="array" ref="X3">SUM(($A$17:$A$629=W3)*(ISNUMBER($C$17:$C$629)),($B$17:$B$629=W3)*(ISNUMBER($E$17:$E$629)))</f>
        <v>7</v>
      </c>
      <c r="Y3" s="3" cm="1">
        <f t="array" ref="Y3">SUMPRODUCT(($A$17:$A$629=W3)*($C$17:$C$629&gt;$E$17:$E$629)) +
 SUMPRODUCT(($B$17:$B$629=W3)*($E$17:$E$629&gt;$C$17:$C$629))</f>
        <v>4</v>
      </c>
      <c r="Z3" s="3" cm="1">
        <f t="array" ref="Z3">SUM(($A$17:$A$629=W3)*($C$17:$C$629=$E$17:$E$629)*ISNUMBER($E$17:$E$629),($B$17:$B$629=W3)*($E$17:$E$629=$C$17:$C$629)*ISNUMBER($C$17:$C$629))</f>
        <v>1</v>
      </c>
      <c r="AA3" s="3" cm="1">
        <f t="array" ref="AA3">SUM(($A$17:$A$629=W3)*($C$17:$C$629&lt;$E$17:$E$629),($B$17:$B$629=W3)*($E$17:$E$629&lt;$C$17:$C$629))</f>
        <v>2</v>
      </c>
      <c r="AB3" s="4">
        <f t="shared" ref="AB3:AB10" si="0">SUMIF($A$17:$A$629,W3,$C$17:$C$629)+SUMIF($B$17:$B$629,W3,$E$17:$E$629)</f>
        <v>356</v>
      </c>
      <c r="AC3" s="5">
        <f t="shared" ref="AC3:AC10" si="1">SUMIF($A$17:$A$629,W3,$E$17:$E$629)+SUMIF($B$17:$B$629,W3,$C$17:$C$629)</f>
        <v>326</v>
      </c>
      <c r="AD3" s="3">
        <f>AB3-AC3</f>
        <v>30</v>
      </c>
      <c r="AE3" s="4">
        <f>Y3*Points!$B$2+Z3*Points!$B$3</f>
        <v>9</v>
      </c>
      <c r="AF3">
        <f>AB3+AD3*10000+AE3*100000000</f>
        <v>900300356</v>
      </c>
      <c r="AG3">
        <f>AB3/AC3/X3</f>
        <v>0.15600350569675722</v>
      </c>
    </row>
    <row r="4" spans="1:33" ht="21.6" customHeight="1" x14ac:dyDescent="0.55000000000000004">
      <c r="A4" s="6" t="s">
        <v>49</v>
      </c>
      <c r="H4" s="92" t="s">
        <v>81</v>
      </c>
      <c r="I4" s="92"/>
      <c r="J4" s="92"/>
      <c r="K4" s="92"/>
      <c r="L4" s="92"/>
      <c r="M4" s="92"/>
      <c r="N4" s="92"/>
      <c r="O4" s="92"/>
      <c r="P4" s="92"/>
      <c r="Q4" s="92"/>
      <c r="W4" s="1" t="str">
        <f>A5</f>
        <v>Cape Town A</v>
      </c>
      <c r="X4" s="2" cm="1">
        <f t="array" ref="X4">SUM(($A$17:$A$629=W4)*(ISNUMBER($C$17:$C$629)),($B$17:$B$629=W4)*(ISNUMBER($E$17:$E$629)))</f>
        <v>7</v>
      </c>
      <c r="Y4" s="3" cm="1">
        <f t="array" ref="Y4">SUMPRODUCT(($A$17:$A$629=W4)*($C$17:$C$629&gt;$E$17:$E$629)) +
 SUMPRODUCT(($B$17:$B$629=W4)*($E$17:$E$629&gt;$C$17:$C$629))</f>
        <v>6</v>
      </c>
      <c r="Z4" s="3" cm="1">
        <f t="array" ref="Z4">SUM(($A$17:$A$629=W4)*($C$17:$C$629=$E$17:$E$629)*ISNUMBER($E$17:$E$629),($B$17:$B$629=W4)*($E$17:$E$629=$C$17:$C$629)*ISNUMBER($C$17:$C$629))</f>
        <v>0</v>
      </c>
      <c r="AA4" s="3" cm="1">
        <f t="array" ref="AA4">SUM(($A$17:$A$629=W4)*($C$17:$C$629&lt;$E$17:$E$629),($B$17:$B$629=W4)*($E$17:$E$629&lt;$C$17:$C$629))</f>
        <v>1</v>
      </c>
      <c r="AB4" s="4">
        <f t="shared" si="0"/>
        <v>426</v>
      </c>
      <c r="AC4" s="5">
        <f t="shared" si="1"/>
        <v>327</v>
      </c>
      <c r="AD4" s="3">
        <f t="shared" ref="AD4" si="2">AB4-AC4</f>
        <v>99</v>
      </c>
      <c r="AE4" s="4">
        <f>Y4*Points!$B$2+Z4*Points!$B$3</f>
        <v>12</v>
      </c>
      <c r="AF4">
        <f t="shared" ref="AF4" si="3">AB4+AD4*10000+AE4*100000000</f>
        <v>1200990426</v>
      </c>
      <c r="AG4">
        <f t="shared" ref="AG4:AG10" si="4">AB4/AC4/X4</f>
        <v>0.18610747051114024</v>
      </c>
    </row>
    <row r="5" spans="1:33" x14ac:dyDescent="0.3">
      <c r="A5" s="6" t="s">
        <v>52</v>
      </c>
      <c r="H5" s="85" t="s">
        <v>133</v>
      </c>
      <c r="I5" s="86" t="s">
        <v>134</v>
      </c>
      <c r="J5" s="87" t="s">
        <v>135</v>
      </c>
      <c r="K5" s="87" t="s">
        <v>137</v>
      </c>
      <c r="L5" s="87" t="s">
        <v>136</v>
      </c>
      <c r="M5" s="86" t="s">
        <v>87</v>
      </c>
      <c r="N5" s="88" t="s">
        <v>138</v>
      </c>
      <c r="O5" s="89" t="s">
        <v>139</v>
      </c>
      <c r="P5" s="87" t="s">
        <v>6</v>
      </c>
      <c r="Q5" s="86" t="s">
        <v>102</v>
      </c>
      <c r="W5" s="1" t="str">
        <f>A6</f>
        <v>Mangaung A</v>
      </c>
      <c r="X5" s="2" cm="1">
        <f t="array" ref="X5">SUM(($A$17:$A$629=W5)*(ISNUMBER($C$17:$C$629)),($B$17:$B$629=W5)*(ISNUMBER($E$17:$E$629)))</f>
        <v>7</v>
      </c>
      <c r="Y5" s="3" cm="1">
        <f t="array" ref="Y5">SUMPRODUCT(($A$17:$A$629=W5)*($C$17:$C$629&gt;$E$17:$E$629)) +
 SUMPRODUCT(($B$17:$B$629=W5)*($E$17:$E$629&gt;$C$17:$C$629))</f>
        <v>4</v>
      </c>
      <c r="Z5" s="3" cm="1">
        <f t="array" ref="Z5">SUM(($A$17:$A$629=W5)*($C$17:$C$629=$E$17:$E$629)*ISNUMBER($E$17:$E$629),($B$17:$B$629=W5)*($E$17:$E$629=$C$17:$C$629)*ISNUMBER($C$17:$C$629))</f>
        <v>1</v>
      </c>
      <c r="AA5" s="3" cm="1">
        <f t="array" ref="AA5">SUM(($A$17:$A$629=W5)*($C$17:$C$629&lt;$E$17:$E$629),($B$17:$B$629=W5)*($E$17:$E$629&lt;$C$17:$C$629))</f>
        <v>2</v>
      </c>
      <c r="AB5" s="4">
        <f t="shared" si="0"/>
        <v>357</v>
      </c>
      <c r="AC5" s="5">
        <f t="shared" si="1"/>
        <v>317</v>
      </c>
      <c r="AD5" s="3">
        <f>AB5-AC5</f>
        <v>40</v>
      </c>
      <c r="AE5" s="4">
        <f>Y5*Points!$B$2+Z5*Points!$B$3</f>
        <v>9</v>
      </c>
      <c r="AF5">
        <f>AB5+AD5*10000+AE5*100000000</f>
        <v>900400357</v>
      </c>
      <c r="AG5">
        <f t="shared" si="4"/>
        <v>0.16088328075709782</v>
      </c>
    </row>
    <row r="6" spans="1:33" x14ac:dyDescent="0.3">
      <c r="A6" s="6" t="s">
        <v>82</v>
      </c>
      <c r="H6" s="6" t="str" cm="1">
        <f t="array" ref="H6">INDEX($W$3:$W$10,MATCH(LARGE($AF$3:$AF$10-ROW($AF$3:$AF$10)/COUNT($AF$3:$AF$10),ROW(H6)-ROW(H$6)+1),$AF$3:$AF$10-ROW($AF$3:$AF$10)/COUNT($AF$3:$AF$10),0))</f>
        <v>Tshwane A</v>
      </c>
      <c r="I6" s="7">
        <f>VLOOKUP($H6,$W$3:$AE$10,2,0)</f>
        <v>7</v>
      </c>
      <c r="J6" s="7">
        <f>VLOOKUP($H6,$W$3:$AE$10,3,0)</f>
        <v>7</v>
      </c>
      <c r="K6" s="7">
        <f>VLOOKUP($H6,$W$3:$AE$10,5,0)</f>
        <v>0</v>
      </c>
      <c r="L6" s="7">
        <f>VLOOKUP($H6,$W$3:$AE$10,4,0)</f>
        <v>0</v>
      </c>
      <c r="M6" s="7">
        <f>VLOOKUP($H6,$W$3:$AE$12,9,0)</f>
        <v>14</v>
      </c>
      <c r="N6" s="7">
        <f>VLOOKUP($H6,$W$3:$AE$12,6,0)</f>
        <v>375</v>
      </c>
      <c r="O6" s="7">
        <f>VLOOKUP($H6,$W$3:$AE$12,7,0)</f>
        <v>295</v>
      </c>
      <c r="P6" s="7">
        <f>VLOOKUP($H6,$W$3:$AE$12,8,0)</f>
        <v>80</v>
      </c>
      <c r="Q6" s="60">
        <f>VLOOKUP($H6,$W$3:$AG$10,11,0)</f>
        <v>0.18159806295399514</v>
      </c>
      <c r="W6" s="1" t="str">
        <f t="shared" ref="W6:W10" si="5">A7</f>
        <v>Dr KK A</v>
      </c>
      <c r="X6" s="2" cm="1">
        <f t="array" ref="X6">SUM(($A$17:$A$629=W6)*(ISNUMBER($C$17:$C$629)),($B$17:$B$629=W6)*(ISNUMBER($E$17:$E$629)))</f>
        <v>7</v>
      </c>
      <c r="Y6" s="3" cm="1">
        <f t="array" ref="Y6">SUMPRODUCT(($A$17:$A$629=W6)*($C$17:$C$629&gt;$E$17:$E$629)) +
 SUMPRODUCT(($B$17:$B$629=W6)*($E$17:$E$629&gt;$C$17:$C$629))</f>
        <v>3</v>
      </c>
      <c r="Z6" s="3" cm="1">
        <f t="array" ref="Z6">SUM(($A$17:$A$629=W6)*($C$17:$C$629=$E$17:$E$629)*ISNUMBER($E$17:$E$629),($B$17:$B$629=W6)*($E$17:$E$629=$C$17:$C$629)*ISNUMBER($C$17:$C$629))</f>
        <v>0</v>
      </c>
      <c r="AA6" s="3" cm="1">
        <f t="array" ref="AA6">SUM(($A$17:$A$629=W6)*($C$17:$C$629&lt;$E$17:$E$629),($B$17:$B$629=W6)*($E$17:$E$629&lt;$C$17:$C$629))</f>
        <v>4</v>
      </c>
      <c r="AB6" s="4">
        <f t="shared" si="0"/>
        <v>349</v>
      </c>
      <c r="AC6" s="5">
        <f t="shared" si="1"/>
        <v>358</v>
      </c>
      <c r="AD6" s="3">
        <f t="shared" ref="AD6:AD10" si="6">AB6-AC6</f>
        <v>-9</v>
      </c>
      <c r="AE6" s="4">
        <f>Y6*Points!$B$2+Z6*Points!$B$3</f>
        <v>6</v>
      </c>
      <c r="AF6">
        <f t="shared" ref="AF6:AF10" si="7">AB6+AD6*10000+AE6*100000000</f>
        <v>599910349</v>
      </c>
      <c r="AG6">
        <f t="shared" si="4"/>
        <v>0.13926576217079009</v>
      </c>
    </row>
    <row r="7" spans="1:33" x14ac:dyDescent="0.3">
      <c r="A7" s="6" t="s">
        <v>93</v>
      </c>
      <c r="H7" s="6" t="str" cm="1">
        <f t="array" ref="H7">INDEX($W$3:$W$10,MATCH(LARGE($AF$3:$AF$10-ROW($AF$3:$AF$10)/COUNT($AF$3:$AF$10),ROW(H7)-ROW(H$6)+1),$AF$3:$AF$10-ROW($AF$3:$AF$10)/COUNT($AF$3:$AF$10),0))</f>
        <v>Cape Town A</v>
      </c>
      <c r="I7" s="7">
        <f t="shared" ref="I7:I13" si="8">VLOOKUP($H7,$W$3:$AE$10,2,0)</f>
        <v>7</v>
      </c>
      <c r="J7" s="7">
        <f t="shared" ref="J7:J13" si="9">VLOOKUP($H7,$W$3:$AE$10,3,0)</f>
        <v>6</v>
      </c>
      <c r="K7" s="7">
        <f t="shared" ref="K7:K13" si="10">VLOOKUP($H7,$W$3:$AE$10,5,0)</f>
        <v>1</v>
      </c>
      <c r="L7" s="7">
        <f t="shared" ref="L7:L13" si="11">VLOOKUP($H7,$W$3:$AE$10,4,0)</f>
        <v>0</v>
      </c>
      <c r="M7" s="7">
        <f t="shared" ref="M7" si="12">VLOOKUP($H7,$W$3:$AE$12,9,0)</f>
        <v>12</v>
      </c>
      <c r="N7" s="7">
        <f t="shared" ref="N7:N12" si="13">VLOOKUP($H7,$W$3:$AE$12,6,0)</f>
        <v>426</v>
      </c>
      <c r="O7" s="7">
        <f t="shared" ref="O7:O12" si="14">VLOOKUP($H7,$W$3:$AE$12,7,0)</f>
        <v>327</v>
      </c>
      <c r="P7" s="7">
        <f t="shared" ref="P7:P12" si="15">VLOOKUP($H7,$W$3:$AE$12,8,0)</f>
        <v>99</v>
      </c>
      <c r="Q7" s="60">
        <f t="shared" ref="Q7:Q13" si="16">VLOOKUP($H7,$W$3:$AG$10,11,0)</f>
        <v>0.18610747051114024</v>
      </c>
      <c r="W7" s="1" t="str">
        <f t="shared" si="5"/>
        <v>Tshwane A</v>
      </c>
      <c r="X7" s="2" cm="1">
        <f t="array" ref="X7">SUM(($A$17:$A$629=W7)*(ISNUMBER($C$17:$C$629)),($B$17:$B$629=W7)*(ISNUMBER($E$17:$E$629)))</f>
        <v>7</v>
      </c>
      <c r="Y7" s="3" cm="1">
        <f t="array" ref="Y7">SUMPRODUCT(($A$17:$A$629=W7)*($C$17:$C$629&gt;$E$17:$E$629)) +
 SUMPRODUCT(($B$17:$B$629=W7)*($E$17:$E$629&gt;$C$17:$C$629))</f>
        <v>7</v>
      </c>
      <c r="Z7" s="3" cm="1">
        <f t="array" ref="Z7">SUM(($A$17:$A$629=W7)*($C$17:$C$629=$E$17:$E$629)*ISNUMBER($E$17:$E$629),($B$17:$B$629=W7)*($E$17:$E$629=$C$17:$C$629)*ISNUMBER($C$17:$C$629))</f>
        <v>0</v>
      </c>
      <c r="AA7" s="3" cm="1">
        <f t="array" ref="AA7">SUM(($A$17:$A$629=W7)*($C$17:$C$629&lt;$E$17:$E$629),($B$17:$B$629=W7)*($E$17:$E$629&lt;$C$17:$C$629))</f>
        <v>0</v>
      </c>
      <c r="AB7" s="4">
        <f t="shared" si="0"/>
        <v>375</v>
      </c>
      <c r="AC7" s="5">
        <f t="shared" si="1"/>
        <v>295</v>
      </c>
      <c r="AD7" s="3">
        <f t="shared" si="6"/>
        <v>80</v>
      </c>
      <c r="AE7" s="4">
        <f>Y7*Points!$B$2+Z7*Points!$B$3</f>
        <v>14</v>
      </c>
      <c r="AF7">
        <f t="shared" si="7"/>
        <v>1400800375</v>
      </c>
      <c r="AG7">
        <f t="shared" si="4"/>
        <v>0.18159806295399514</v>
      </c>
    </row>
    <row r="8" spans="1:33" x14ac:dyDescent="0.3">
      <c r="A8" s="6" t="s">
        <v>50</v>
      </c>
      <c r="H8" s="6" t="str" cm="1">
        <f t="array" ref="H8">INDEX($W$3:$W$10,MATCH(LARGE($AF$3:$AF$10-ROW($AF$3:$AF$10)/COUNT($AF$3:$AF$10),ROW(H8)-ROW(H$6)+1),$AF$3:$AF$10-ROW($AF$3:$AF$10)/COUNT($AF$3:$AF$10),0))</f>
        <v>Mangaung A</v>
      </c>
      <c r="I8" s="7">
        <f t="shared" si="8"/>
        <v>7</v>
      </c>
      <c r="J8" s="7">
        <f t="shared" si="9"/>
        <v>4</v>
      </c>
      <c r="K8" s="7">
        <f t="shared" si="10"/>
        <v>2</v>
      </c>
      <c r="L8" s="7">
        <f t="shared" si="11"/>
        <v>1</v>
      </c>
      <c r="M8" s="7">
        <f>VLOOKUP($H8,$W$3:$AE$12,9,0)</f>
        <v>9</v>
      </c>
      <c r="N8" s="7">
        <f t="shared" si="13"/>
        <v>357</v>
      </c>
      <c r="O8" s="7">
        <f t="shared" si="14"/>
        <v>317</v>
      </c>
      <c r="P8" s="7">
        <f t="shared" si="15"/>
        <v>40</v>
      </c>
      <c r="Q8" s="60">
        <f t="shared" si="16"/>
        <v>0.16088328075709782</v>
      </c>
      <c r="W8" s="1" t="str">
        <f t="shared" si="5"/>
        <v>eThekwini A</v>
      </c>
      <c r="X8" s="2" cm="1">
        <f t="array" ref="X8">SUM(($A$17:$A$629=W8)*(ISNUMBER($C$17:$C$629)),($B$17:$B$629=W8)*(ISNUMBER($E$17:$E$629)))</f>
        <v>7</v>
      </c>
      <c r="Y8" s="3" cm="1">
        <f t="array" ref="Y8">SUMPRODUCT(($A$17:$A$629=W8)*($C$17:$C$629&gt;$E$17:$E$629)) +
 SUMPRODUCT(($B$17:$B$629=W8)*($E$17:$E$629&gt;$C$17:$C$629))</f>
        <v>1</v>
      </c>
      <c r="Z8" s="3" cm="1">
        <f t="array" ref="Z8">SUM(($A$17:$A$629=W8)*($C$17:$C$629=$E$17:$E$629)*ISNUMBER($E$17:$E$629),($B$17:$B$629=W8)*($E$17:$E$629=$C$17:$C$629)*ISNUMBER($C$17:$C$629))</f>
        <v>0</v>
      </c>
      <c r="AA8" s="3" cm="1">
        <f t="array" ref="AA8">SUM(($A$17:$A$629=W8)*($C$17:$C$629&lt;$E$17:$E$629),($B$17:$B$629=W8)*($E$17:$E$629&lt;$C$17:$C$629))</f>
        <v>6</v>
      </c>
      <c r="AB8" s="4">
        <f t="shared" si="0"/>
        <v>285</v>
      </c>
      <c r="AC8" s="5">
        <f t="shared" si="1"/>
        <v>359</v>
      </c>
      <c r="AD8" s="3">
        <f t="shared" si="6"/>
        <v>-74</v>
      </c>
      <c r="AE8" s="4">
        <f>Y8*Points!$B$2+Z8*Points!$B$3</f>
        <v>2</v>
      </c>
      <c r="AF8">
        <f t="shared" si="7"/>
        <v>199260285</v>
      </c>
      <c r="AG8">
        <f t="shared" si="4"/>
        <v>0.11341026661360923</v>
      </c>
    </row>
    <row r="9" spans="1:33" x14ac:dyDescent="0.3">
      <c r="A9" s="6" t="s">
        <v>85</v>
      </c>
      <c r="H9" s="6" t="str" cm="1">
        <f t="array" ref="H9">INDEX($W$3:$W$10,MATCH(LARGE($AF$3:$AF$10-ROW($AF$3:$AF$10)/COUNT($AF$3:$AF$10),ROW(H9)-ROW(H$6)+1),$AF$3:$AF$10-ROW($AF$3:$AF$10)/COUNT($AF$3:$AF$10),0))</f>
        <v>Johannesburg A</v>
      </c>
      <c r="I9" s="7">
        <f>VLOOKUP($H9,$W$3:$AE$10,2,0)</f>
        <v>7</v>
      </c>
      <c r="J9" s="7">
        <f t="shared" si="9"/>
        <v>4</v>
      </c>
      <c r="K9" s="7">
        <f t="shared" si="10"/>
        <v>2</v>
      </c>
      <c r="L9" s="7">
        <f t="shared" si="11"/>
        <v>1</v>
      </c>
      <c r="M9" s="7">
        <f t="shared" ref="M9:M12" si="17">VLOOKUP($H9,$W$3:$AE$12,9,0)</f>
        <v>9</v>
      </c>
      <c r="N9" s="7">
        <f t="shared" si="13"/>
        <v>356</v>
      </c>
      <c r="O9" s="7">
        <f t="shared" si="14"/>
        <v>326</v>
      </c>
      <c r="P9" s="7">
        <f t="shared" si="15"/>
        <v>30</v>
      </c>
      <c r="Q9" s="60">
        <f t="shared" si="16"/>
        <v>0.15600350569675722</v>
      </c>
      <c r="W9" s="1" t="str">
        <f t="shared" si="5"/>
        <v>NMB A</v>
      </c>
      <c r="X9" s="2" cm="1">
        <f t="array" ref="X9">SUM(($A$17:$A$629=W9)*(ISNUMBER($C$17:$C$629)),($B$17:$B$629=W9)*(ISNUMBER($E$17:$E$629)))</f>
        <v>7</v>
      </c>
      <c r="Y9" s="3" cm="1">
        <f t="array" ref="Y9">SUMPRODUCT(($A$17:$A$629=W9)*($C$17:$C$629&gt;$E$17:$E$629)) +
 SUMPRODUCT(($B$17:$B$629=W9)*($E$17:$E$629&gt;$C$17:$C$629))</f>
        <v>2</v>
      </c>
      <c r="Z9" s="3" cm="1">
        <f t="array" ref="Z9">SUM(($A$17:$A$629=W9)*($C$17:$C$629=$E$17:$E$629)*ISNUMBER($E$17:$E$629),($B$17:$B$629=W9)*($E$17:$E$629=$C$17:$C$629)*ISNUMBER($C$17:$C$629))</f>
        <v>0</v>
      </c>
      <c r="AA9" s="3" cm="1">
        <f t="array" ref="AA9">SUM(($A$17:$A$629=W9)*($C$17:$C$629&lt;$E$17:$E$629),($B$17:$B$629=W9)*($E$17:$E$629&lt;$C$17:$C$629))</f>
        <v>5</v>
      </c>
      <c r="AB9" s="4">
        <f t="shared" si="0"/>
        <v>293</v>
      </c>
      <c r="AC9" s="5">
        <f t="shared" si="1"/>
        <v>341</v>
      </c>
      <c r="AD9" s="3">
        <f t="shared" si="6"/>
        <v>-48</v>
      </c>
      <c r="AE9" s="4">
        <f>Y9*Points!$B$2+Z9*Points!$B$3</f>
        <v>4</v>
      </c>
      <c r="AF9">
        <f t="shared" si="7"/>
        <v>399520293</v>
      </c>
      <c r="AG9">
        <f t="shared" si="4"/>
        <v>0.12274821952241308</v>
      </c>
    </row>
    <row r="10" spans="1:33" x14ac:dyDescent="0.3">
      <c r="A10" s="6" t="s">
        <v>84</v>
      </c>
      <c r="H10" s="6" t="str" cm="1">
        <f t="array" ref="H10">INDEX($W$3:$W$10,MATCH(LARGE($AF$3:$AF$10-ROW($AF$3:$AF$10)/COUNT($AF$3:$AF$10),ROW(H10)-ROW(H$6)+1),$AF$3:$AF$10-ROW($AF$3:$AF$10)/COUNT($AF$3:$AF$10),0))</f>
        <v>Dr KK A</v>
      </c>
      <c r="I10" s="7">
        <f t="shared" si="8"/>
        <v>7</v>
      </c>
      <c r="J10" s="7">
        <f t="shared" si="9"/>
        <v>3</v>
      </c>
      <c r="K10" s="7">
        <f t="shared" si="10"/>
        <v>4</v>
      </c>
      <c r="L10" s="7">
        <f t="shared" si="11"/>
        <v>0</v>
      </c>
      <c r="M10" s="7">
        <f t="shared" si="17"/>
        <v>6</v>
      </c>
      <c r="N10" s="7">
        <f t="shared" si="13"/>
        <v>349</v>
      </c>
      <c r="O10" s="7">
        <f t="shared" si="14"/>
        <v>358</v>
      </c>
      <c r="P10" s="7">
        <f t="shared" si="15"/>
        <v>-9</v>
      </c>
      <c r="Q10" s="60">
        <f t="shared" si="16"/>
        <v>0.13926576217079009</v>
      </c>
      <c r="W10" s="1" t="str">
        <f t="shared" si="5"/>
        <v>Alfred Nzo</v>
      </c>
      <c r="X10" s="2" cm="1">
        <f t="array" ref="X10">SUM(($A$17:$A$629=W10)*(ISNUMBER($C$17:$C$629)),($B$17:$B$629=W10)*(ISNUMBER($E$17:$E$629)))</f>
        <v>7</v>
      </c>
      <c r="Y10" s="3" cm="1">
        <f t="array" ref="Y10">SUMPRODUCT(($A$17:$A$629=W10)*($C$17:$C$629&gt;$E$17:$E$629)) +
 SUMPRODUCT(($B$17:$B$629=W10)*($E$17:$E$629&gt;$C$17:$C$629))</f>
        <v>0</v>
      </c>
      <c r="Z10" s="3" cm="1">
        <f t="array" ref="Z10">SUM(($A$17:$A$629=W10)*($C$17:$C$629=$E$17:$E$629)*ISNUMBER($E$17:$E$629),($B$17:$B$629=W10)*($E$17:$E$629=$C$17:$C$629)*ISNUMBER($C$17:$C$629))</f>
        <v>0</v>
      </c>
      <c r="AA10" s="3" cm="1">
        <f t="array" ref="AA10">SUM(($A$17:$A$629=W10)*($C$17:$C$629&lt;$E$17:$E$629),($B$17:$B$629=W10)*($E$17:$E$629&lt;$C$17:$C$629))</f>
        <v>7</v>
      </c>
      <c r="AB10" s="4">
        <f t="shared" si="0"/>
        <v>269</v>
      </c>
      <c r="AC10" s="5">
        <f t="shared" si="1"/>
        <v>387</v>
      </c>
      <c r="AD10" s="3">
        <f t="shared" si="6"/>
        <v>-118</v>
      </c>
      <c r="AE10" s="4">
        <f>Y10*Points!$B$2+Z10*Points!$B$3</f>
        <v>0</v>
      </c>
      <c r="AF10">
        <f t="shared" si="7"/>
        <v>-1179731</v>
      </c>
      <c r="AG10">
        <f t="shared" si="4"/>
        <v>9.9298634182355114E-2</v>
      </c>
    </row>
    <row r="11" spans="1:33" x14ac:dyDescent="0.3">
      <c r="A11" s="6" t="s">
        <v>13</v>
      </c>
      <c r="H11" s="6" t="str" cm="1">
        <f t="array" ref="H11">INDEX($W$3:$W$10,MATCH(LARGE($AF$3:$AF$10-ROW($AF$3:$AF$10)/COUNT($AF$3:$AF$10),ROW(H11)-ROW(H$6)+1),$AF$3:$AF$10-ROW($AF$3:$AF$10)/COUNT($AF$3:$AF$10),0))</f>
        <v>NMB A</v>
      </c>
      <c r="I11" s="7">
        <f t="shared" si="8"/>
        <v>7</v>
      </c>
      <c r="J11" s="7">
        <f t="shared" si="9"/>
        <v>2</v>
      </c>
      <c r="K11" s="7">
        <f t="shared" si="10"/>
        <v>5</v>
      </c>
      <c r="L11" s="7">
        <f t="shared" si="11"/>
        <v>0</v>
      </c>
      <c r="M11" s="7">
        <f t="shared" si="17"/>
        <v>4</v>
      </c>
      <c r="N11" s="7">
        <f t="shared" si="13"/>
        <v>293</v>
      </c>
      <c r="O11" s="7">
        <f t="shared" si="14"/>
        <v>341</v>
      </c>
      <c r="P11" s="7">
        <f t="shared" si="15"/>
        <v>-48</v>
      </c>
      <c r="Q11" s="60">
        <f t="shared" si="16"/>
        <v>0.12274821952241308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 s="6" t="str" cm="1">
        <f t="array" ref="H12">INDEX($W$3:$W$10,MATCH(LARGE($AF$3:$AF$10-ROW($AF$3:$AF$10)/COUNT($AF$3:$AF$10),ROW(H12)-ROW(H$6)+1),$AF$3:$AF$10-ROW($AF$3:$AF$10)/COUNT($AF$3:$AF$10),0))</f>
        <v>eThekwini A</v>
      </c>
      <c r="I12" s="7">
        <f t="shared" si="8"/>
        <v>7</v>
      </c>
      <c r="J12" s="7">
        <f t="shared" si="9"/>
        <v>1</v>
      </c>
      <c r="K12" s="7">
        <f t="shared" si="10"/>
        <v>6</v>
      </c>
      <c r="L12" s="7">
        <f t="shared" si="11"/>
        <v>0</v>
      </c>
      <c r="M12" s="7">
        <f t="shared" si="17"/>
        <v>2</v>
      </c>
      <c r="N12" s="7">
        <f t="shared" si="13"/>
        <v>285</v>
      </c>
      <c r="O12" s="7">
        <f t="shared" si="14"/>
        <v>359</v>
      </c>
      <c r="P12" s="7">
        <f t="shared" si="15"/>
        <v>-74</v>
      </c>
      <c r="Q12" s="60">
        <f t="shared" si="16"/>
        <v>0.11341026661360923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 s="6" t="str" cm="1">
        <f t="array" ref="H13">INDEX($W$3:$W$10,MATCH(LARGE($AF$3:$AF$10-ROW($AF$3:$AF$10)/COUNT($AF$3:$AF$10),ROW(H13)-ROW(H$6)+1),$AF$3:$AF$10-ROW($AF$3:$AF$10)/COUNT($AF$3:$AF$10),0))</f>
        <v>Alfred Nzo</v>
      </c>
      <c r="I13" s="7">
        <f t="shared" si="8"/>
        <v>7</v>
      </c>
      <c r="J13" s="7">
        <f t="shared" si="9"/>
        <v>0</v>
      </c>
      <c r="K13" s="7">
        <f t="shared" si="10"/>
        <v>7</v>
      </c>
      <c r="L13" s="7">
        <f t="shared" si="11"/>
        <v>0</v>
      </c>
      <c r="M13" s="7">
        <f>VLOOKUP($H13,$W$3:$AE$12,9,0)</f>
        <v>0</v>
      </c>
      <c r="N13" s="7">
        <f>VLOOKUP($H13,$W$3:$AE$12,6,0)</f>
        <v>269</v>
      </c>
      <c r="O13" s="7">
        <f>VLOOKUP($H13,$W$3:$AE$12,7,0)</f>
        <v>387</v>
      </c>
      <c r="P13" s="7">
        <f>VLOOKUP($H13,$W$3:$AE$12,8,0)</f>
        <v>-118</v>
      </c>
      <c r="Q13" s="60">
        <f t="shared" si="16"/>
        <v>9.9298634182355114E-2</v>
      </c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101</v>
      </c>
    </row>
    <row r="17" spans="1:17" x14ac:dyDescent="0.3">
      <c r="A17" s="21" t="s">
        <v>84</v>
      </c>
      <c r="B17" s="22" t="s">
        <v>13</v>
      </c>
      <c r="C17" s="23">
        <v>56</v>
      </c>
      <c r="D17" s="23" t="s">
        <v>16</v>
      </c>
      <c r="E17" s="24">
        <v>38</v>
      </c>
      <c r="F17" s="3"/>
      <c r="H17"/>
      <c r="I17"/>
      <c r="J17" s="3"/>
      <c r="K17" s="3"/>
      <c r="L17" s="3"/>
    </row>
    <row r="18" spans="1:17" x14ac:dyDescent="0.3">
      <c r="A18" s="25" t="s">
        <v>93</v>
      </c>
      <c r="B18" s="6" t="s">
        <v>50</v>
      </c>
      <c r="C18" s="7">
        <v>47</v>
      </c>
      <c r="D18" s="7" t="s">
        <v>16</v>
      </c>
      <c r="E18" s="26">
        <v>55</v>
      </c>
      <c r="F18" s="3"/>
      <c r="H18"/>
      <c r="I18"/>
      <c r="J18" s="3"/>
      <c r="K18" s="3"/>
      <c r="L18" s="3"/>
    </row>
    <row r="19" spans="1:17" ht="16.2" thickBot="1" x14ac:dyDescent="0.35">
      <c r="A19" s="27" t="s">
        <v>82</v>
      </c>
      <c r="B19" s="28" t="s">
        <v>85</v>
      </c>
      <c r="C19" s="29">
        <v>54</v>
      </c>
      <c r="D19" s="29" t="s">
        <v>16</v>
      </c>
      <c r="E19" s="30">
        <v>47</v>
      </c>
      <c r="F19" s="3"/>
      <c r="I19" s="78"/>
      <c r="J19" s="78"/>
      <c r="K19" s="78"/>
      <c r="L19" s="78"/>
      <c r="M19" s="78"/>
      <c r="N19" s="78"/>
      <c r="O19" s="78"/>
      <c r="P19" s="78"/>
      <c r="Q19" s="78"/>
    </row>
    <row r="20" spans="1:17" x14ac:dyDescent="0.3">
      <c r="F20" s="3"/>
      <c r="H20"/>
      <c r="I20"/>
    </row>
    <row r="21" spans="1:17" x14ac:dyDescent="0.3">
      <c r="F21" s="3"/>
      <c r="H21"/>
      <c r="I21"/>
    </row>
    <row r="22" spans="1:17" ht="15" thickBot="1" x14ac:dyDescent="0.35">
      <c r="A22" s="20" t="s">
        <v>104</v>
      </c>
      <c r="F22" s="3"/>
      <c r="H22"/>
      <c r="I22"/>
    </row>
    <row r="23" spans="1:17" x14ac:dyDescent="0.3">
      <c r="A23" s="21" t="s">
        <v>13</v>
      </c>
      <c r="B23" s="22" t="s">
        <v>49</v>
      </c>
      <c r="C23" s="23">
        <v>47</v>
      </c>
      <c r="D23" s="23" t="str">
        <f>D17</f>
        <v>:</v>
      </c>
      <c r="E23" s="24">
        <v>62</v>
      </c>
      <c r="H23"/>
      <c r="I23"/>
      <c r="J23" s="3"/>
      <c r="K23" s="3"/>
      <c r="L23" s="3"/>
    </row>
    <row r="24" spans="1:17" x14ac:dyDescent="0.3">
      <c r="A24" s="25" t="s">
        <v>84</v>
      </c>
      <c r="B24" s="6" t="s">
        <v>52</v>
      </c>
      <c r="C24" s="7">
        <v>52</v>
      </c>
      <c r="D24" s="7" t="str">
        <f>D18</f>
        <v>:</v>
      </c>
      <c r="E24" s="26">
        <v>59</v>
      </c>
      <c r="H24"/>
      <c r="I24"/>
      <c r="J24" s="3"/>
      <c r="K24" s="3"/>
      <c r="L24" s="3"/>
    </row>
    <row r="25" spans="1:17" x14ac:dyDescent="0.3">
      <c r="A25" s="25" t="s">
        <v>82</v>
      </c>
      <c r="B25" s="6" t="s">
        <v>50</v>
      </c>
      <c r="C25" s="7">
        <v>50</v>
      </c>
      <c r="D25" s="7" t="str">
        <f>D19</f>
        <v>:</v>
      </c>
      <c r="E25" s="26">
        <v>51</v>
      </c>
    </row>
    <row r="26" spans="1:17" x14ac:dyDescent="0.3">
      <c r="A26" s="25" t="s">
        <v>93</v>
      </c>
      <c r="B26" s="6" t="s">
        <v>85</v>
      </c>
      <c r="C26" s="7">
        <v>50</v>
      </c>
      <c r="D26" s="7" t="s">
        <v>16</v>
      </c>
      <c r="E26" s="26">
        <v>45</v>
      </c>
    </row>
    <row r="27" spans="1:17" x14ac:dyDescent="0.3">
      <c r="A27" s="25" t="s">
        <v>52</v>
      </c>
      <c r="B27" s="6" t="s">
        <v>49</v>
      </c>
      <c r="C27" s="7">
        <v>55</v>
      </c>
      <c r="D27" s="7" t="s">
        <v>16</v>
      </c>
      <c r="E27" s="26">
        <v>47</v>
      </c>
    </row>
    <row r="28" spans="1:17" x14ac:dyDescent="0.3">
      <c r="A28" s="25" t="s">
        <v>93</v>
      </c>
      <c r="B28" s="6" t="s">
        <v>82</v>
      </c>
      <c r="C28" s="7">
        <v>52</v>
      </c>
      <c r="D28" s="7" t="s">
        <v>16</v>
      </c>
      <c r="E28" s="26">
        <v>56</v>
      </c>
    </row>
    <row r="29" spans="1:17" ht="15" thickBot="1" x14ac:dyDescent="0.35">
      <c r="A29" s="27" t="s">
        <v>50</v>
      </c>
      <c r="B29" s="28" t="s">
        <v>85</v>
      </c>
      <c r="C29" s="29">
        <v>62</v>
      </c>
      <c r="D29" s="29" t="str">
        <f t="shared" ref="D29" si="18">D23</f>
        <v>:</v>
      </c>
      <c r="E29" s="30">
        <v>41</v>
      </c>
    </row>
    <row r="32" spans="1:17" ht="15" thickBot="1" x14ac:dyDescent="0.35">
      <c r="A32" s="20" t="s">
        <v>141</v>
      </c>
    </row>
    <row r="33" spans="1:12" x14ac:dyDescent="0.3">
      <c r="A33" s="21" t="s">
        <v>84</v>
      </c>
      <c r="B33" s="22" t="s">
        <v>93</v>
      </c>
      <c r="C33" s="23">
        <v>43</v>
      </c>
      <c r="D33" s="23" t="s">
        <v>16</v>
      </c>
      <c r="E33" s="24">
        <v>54</v>
      </c>
      <c r="H33"/>
      <c r="I33"/>
      <c r="J33" s="3"/>
      <c r="K33" s="3"/>
      <c r="L33" s="3"/>
    </row>
    <row r="34" spans="1:12" x14ac:dyDescent="0.3">
      <c r="A34" s="25" t="s">
        <v>52</v>
      </c>
      <c r="B34" s="6" t="s">
        <v>50</v>
      </c>
      <c r="C34" s="7">
        <v>52</v>
      </c>
      <c r="D34" s="7" t="s">
        <v>16</v>
      </c>
      <c r="E34" s="26">
        <v>59</v>
      </c>
      <c r="H34"/>
      <c r="I34"/>
      <c r="J34" s="3"/>
      <c r="K34" s="3"/>
      <c r="L34" s="3"/>
    </row>
    <row r="35" spans="1:12" x14ac:dyDescent="0.3">
      <c r="A35" s="25" t="s">
        <v>49</v>
      </c>
      <c r="B35" s="6" t="s">
        <v>82</v>
      </c>
      <c r="C35" s="7">
        <v>48</v>
      </c>
      <c r="D35" s="7" t="s">
        <v>16</v>
      </c>
      <c r="E35" s="26">
        <v>48</v>
      </c>
    </row>
    <row r="36" spans="1:12" x14ac:dyDescent="0.3">
      <c r="A36" s="25" t="s">
        <v>13</v>
      </c>
      <c r="B36" s="6" t="s">
        <v>85</v>
      </c>
      <c r="C36" s="7">
        <v>42</v>
      </c>
      <c r="D36" s="7" t="s">
        <v>16</v>
      </c>
      <c r="E36" s="26">
        <v>51</v>
      </c>
    </row>
    <row r="37" spans="1:12" x14ac:dyDescent="0.3">
      <c r="A37" s="25" t="s">
        <v>93</v>
      </c>
      <c r="B37" s="6" t="s">
        <v>52</v>
      </c>
      <c r="C37" s="7">
        <v>41</v>
      </c>
      <c r="D37" s="7" t="s">
        <v>16</v>
      </c>
      <c r="E37" s="26">
        <v>53</v>
      </c>
    </row>
    <row r="38" spans="1:12" x14ac:dyDescent="0.3">
      <c r="A38" s="25" t="s">
        <v>84</v>
      </c>
      <c r="B38" s="6" t="s">
        <v>49</v>
      </c>
      <c r="C38" s="7">
        <v>40</v>
      </c>
      <c r="D38" s="7" t="s">
        <v>16</v>
      </c>
      <c r="E38" s="26">
        <v>53</v>
      </c>
    </row>
    <row r="39" spans="1:12" ht="15" thickBot="1" x14ac:dyDescent="0.35">
      <c r="A39" s="27" t="s">
        <v>82</v>
      </c>
      <c r="B39" s="28" t="s">
        <v>13</v>
      </c>
      <c r="C39" s="29">
        <v>47</v>
      </c>
      <c r="D39" s="29" t="s">
        <v>16</v>
      </c>
      <c r="E39" s="30">
        <v>17</v>
      </c>
    </row>
    <row r="42" spans="1:12" ht="15" thickBot="1" x14ac:dyDescent="0.35">
      <c r="A42" s="20" t="s">
        <v>145</v>
      </c>
    </row>
    <row r="43" spans="1:12" x14ac:dyDescent="0.3">
      <c r="A43" s="21" t="s">
        <v>52</v>
      </c>
      <c r="B43" s="22" t="s">
        <v>85</v>
      </c>
      <c r="C43" s="23">
        <v>68</v>
      </c>
      <c r="D43" s="23" t="s">
        <v>16</v>
      </c>
      <c r="E43" s="24">
        <v>34</v>
      </c>
    </row>
    <row r="44" spans="1:12" x14ac:dyDescent="0.3">
      <c r="A44" s="25" t="s">
        <v>13</v>
      </c>
      <c r="B44" s="6" t="s">
        <v>50</v>
      </c>
      <c r="C44" s="7">
        <v>28</v>
      </c>
      <c r="D44" s="7" t="s">
        <v>16</v>
      </c>
      <c r="E44" s="26">
        <v>39</v>
      </c>
    </row>
    <row r="45" spans="1:12" x14ac:dyDescent="0.3">
      <c r="A45" s="25" t="s">
        <v>49</v>
      </c>
      <c r="B45" s="6" t="s">
        <v>93</v>
      </c>
      <c r="C45" s="7">
        <v>53</v>
      </c>
      <c r="D45" s="7" t="s">
        <v>16</v>
      </c>
      <c r="E45" s="26">
        <v>45</v>
      </c>
    </row>
    <row r="46" spans="1:12" x14ac:dyDescent="0.3">
      <c r="A46" s="25" t="s">
        <v>84</v>
      </c>
      <c r="B46" s="6" t="s">
        <v>82</v>
      </c>
      <c r="C46" s="7">
        <v>35</v>
      </c>
      <c r="D46" s="7" t="s">
        <v>16</v>
      </c>
      <c r="E46" s="26">
        <v>52</v>
      </c>
    </row>
    <row r="47" spans="1:12" x14ac:dyDescent="0.3">
      <c r="A47" s="25" t="s">
        <v>52</v>
      </c>
      <c r="B47" s="6" t="s">
        <v>13</v>
      </c>
      <c r="C47" s="7">
        <v>72</v>
      </c>
      <c r="D47" s="7" t="s">
        <v>16</v>
      </c>
      <c r="E47" s="26">
        <v>44</v>
      </c>
    </row>
    <row r="48" spans="1:12" x14ac:dyDescent="0.3">
      <c r="A48" s="25" t="s">
        <v>50</v>
      </c>
      <c r="B48" s="6" t="s">
        <v>49</v>
      </c>
      <c r="C48" s="7">
        <v>53</v>
      </c>
      <c r="D48" s="7" t="s">
        <v>16</v>
      </c>
      <c r="E48" s="26">
        <v>46</v>
      </c>
    </row>
    <row r="49" spans="1:12" ht="15" thickBot="1" x14ac:dyDescent="0.35">
      <c r="A49" s="27" t="s">
        <v>85</v>
      </c>
      <c r="B49" s="28" t="s">
        <v>84</v>
      </c>
      <c r="C49" s="29">
        <v>29</v>
      </c>
      <c r="D49" s="29" t="s">
        <v>16</v>
      </c>
      <c r="E49" s="30">
        <v>36</v>
      </c>
    </row>
    <row r="50" spans="1:12" ht="15" thickBot="1" x14ac:dyDescent="0.35"/>
    <row r="51" spans="1:12" x14ac:dyDescent="0.3">
      <c r="G51" s="31"/>
      <c r="H51" s="37" t="s">
        <v>54</v>
      </c>
      <c r="I51" s="32"/>
      <c r="J51" s="32"/>
      <c r="K51" s="32"/>
      <c r="L51" s="33"/>
    </row>
    <row r="52" spans="1:12" ht="15" thickBot="1" x14ac:dyDescent="0.35">
      <c r="A52" s="20" t="s">
        <v>147</v>
      </c>
      <c r="G52" s="34" t="s">
        <v>86</v>
      </c>
      <c r="H52" s="25" t="str">
        <f>H12</f>
        <v>eThekwini A</v>
      </c>
      <c r="I52" s="6" t="str">
        <f>H13</f>
        <v>Alfred Nzo</v>
      </c>
      <c r="J52" s="7"/>
      <c r="K52" s="7" t="s">
        <v>16</v>
      </c>
      <c r="L52" s="26"/>
    </row>
    <row r="53" spans="1:12" x14ac:dyDescent="0.3">
      <c r="A53" s="21" t="s">
        <v>82</v>
      </c>
      <c r="B53" s="22" t="s">
        <v>52</v>
      </c>
      <c r="C53" s="23">
        <v>50</v>
      </c>
      <c r="D53" s="23" t="s">
        <v>16</v>
      </c>
      <c r="E53" s="24">
        <v>67</v>
      </c>
      <c r="G53" s="35" t="s">
        <v>55</v>
      </c>
      <c r="H53" s="25" t="str">
        <f>H10</f>
        <v>Dr KK A</v>
      </c>
      <c r="I53" s="6" t="str">
        <f>H11</f>
        <v>NMB A</v>
      </c>
      <c r="J53" s="7"/>
      <c r="K53" s="7" t="s">
        <v>16</v>
      </c>
      <c r="L53" s="26"/>
    </row>
    <row r="54" spans="1:12" x14ac:dyDescent="0.3">
      <c r="A54" s="25" t="s">
        <v>49</v>
      </c>
      <c r="B54" s="6" t="s">
        <v>85</v>
      </c>
      <c r="C54" s="7">
        <v>47</v>
      </c>
      <c r="D54" s="7" t="s">
        <v>16</v>
      </c>
      <c r="E54" s="26">
        <v>38</v>
      </c>
      <c r="G54" s="35" t="s">
        <v>56</v>
      </c>
      <c r="H54" s="25" t="str">
        <f>H6</f>
        <v>Tshwane A</v>
      </c>
      <c r="I54" s="6" t="str">
        <f>H9</f>
        <v>Johannesburg A</v>
      </c>
      <c r="J54" s="7"/>
      <c r="K54" s="7" t="s">
        <v>16</v>
      </c>
      <c r="L54" s="26"/>
    </row>
    <row r="55" spans="1:12" ht="15" thickBot="1" x14ac:dyDescent="0.35">
      <c r="A55" s="25" t="s">
        <v>93</v>
      </c>
      <c r="B55" s="6" t="s">
        <v>13</v>
      </c>
      <c r="C55" s="7">
        <v>60</v>
      </c>
      <c r="D55" s="7" t="s">
        <v>16</v>
      </c>
      <c r="E55" s="26">
        <v>53</v>
      </c>
      <c r="G55" s="36" t="s">
        <v>57</v>
      </c>
      <c r="H55" s="27" t="str">
        <f>H7</f>
        <v>Cape Town A</v>
      </c>
      <c r="I55" s="28" t="str">
        <f>H8</f>
        <v>Mangaung A</v>
      </c>
      <c r="J55" s="29"/>
      <c r="K55" s="29" t="s">
        <v>16</v>
      </c>
      <c r="L55" s="30"/>
    </row>
    <row r="56" spans="1:12" ht="15" thickBot="1" x14ac:dyDescent="0.35">
      <c r="A56" s="27" t="s">
        <v>50</v>
      </c>
      <c r="B56" s="28" t="s">
        <v>84</v>
      </c>
      <c r="C56" s="29">
        <v>56</v>
      </c>
      <c r="D56" s="29" t="s">
        <v>16</v>
      </c>
      <c r="E56" s="30">
        <v>31</v>
      </c>
    </row>
    <row r="57" spans="1:12" x14ac:dyDescent="0.3">
      <c r="E57" t="s">
        <v>149</v>
      </c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4FE35-D72F-4ECA-938D-70E582314746}">
  <sheetPr codeName="Sheet23">
    <tabColor rgb="FFF41434"/>
  </sheetPr>
  <dimension ref="A1:AG42"/>
  <sheetViews>
    <sheetView workbookViewId="0">
      <selection activeCell="H15" sqref="H15"/>
    </sheetView>
  </sheetViews>
  <sheetFormatPr defaultRowHeight="14.4" x14ac:dyDescent="0.3"/>
  <cols>
    <col min="1" max="1" width="22.109375" bestFit="1" customWidth="1"/>
    <col min="2" max="2" width="11.886718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1.3320312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.5546875" bestFit="1" customWidth="1"/>
    <col min="21" max="21" width="11.44140625" customWidth="1"/>
    <col min="23" max="23" width="11.66406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8" width="3.109375" hidden="1" customWidth="1"/>
    <col min="29" max="29" width="3.33203125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8.8" x14ac:dyDescent="0.55000000000000004">
      <c r="A1" s="70" t="s">
        <v>130</v>
      </c>
      <c r="B1" s="69"/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102</v>
      </c>
    </row>
    <row r="3" spans="1:33" x14ac:dyDescent="0.3">
      <c r="A3" s="14" t="s">
        <v>9</v>
      </c>
      <c r="B3" s="19" t="s">
        <v>17</v>
      </c>
      <c r="H3" s="13" t="s">
        <v>10</v>
      </c>
      <c r="W3" s="12" t="str">
        <f>A4</f>
        <v>Alfred Nzo</v>
      </c>
      <c r="X3" s="2" cm="1">
        <f t="array" ref="X3">SUM(($A$17:$A$609=W3)*(ISNUMBER($C$17:$C$609)),($B$17:$B$609=W3)*(ISNUMBER($E$17:$E$609)))</f>
        <v>3</v>
      </c>
      <c r="Y3" s="3" cm="1">
        <f t="array" ref="Y3">SUMPRODUCT(($A$17:$A$609=W3)*($C$17:$C$609&gt;$E$17:$E$609)) +
 SUMPRODUCT(($B$17:$B$609=W3)*($E$17:$E$609&gt;$C$17:$C$609))</f>
        <v>2</v>
      </c>
      <c r="Z3" s="3" cm="1">
        <f t="array" ref="Z3">SUM(($A$17:$A$609=W3)*($C$17:$C$609=$E$17:$E$609)*ISNUMBER($E$17:$E$609),($B$17:$B$609=W3)*($E$17:$E$609=$C$17:$C$609)*ISNUMBER($C$17:$C$609))</f>
        <v>0</v>
      </c>
      <c r="AA3" s="3" cm="1">
        <f t="array" ref="AA3">SUM(($A$17:$A$609=W3)*($C$17:$C$609&lt;$E$17:$E$609),($B$17:$B$609=W3)*($E$17:$E$609&lt;$C$17:$C$609))</f>
        <v>1</v>
      </c>
      <c r="AB3" s="4">
        <f>SUMIF($A$17:$A$609,W3,$C$17:$C$609)+SUMIF($B$17:$B$609,W3,$E$17:$E$609)</f>
        <v>110</v>
      </c>
      <c r="AC3" s="5">
        <f>SUMIF($A$17:$A$609,W3,$E$17:$E$609)+SUMIF($B$17:$B$609,W3,$C$17:$C$609)</f>
        <v>90</v>
      </c>
      <c r="AD3" s="3">
        <f>AB3-AC3</f>
        <v>20</v>
      </c>
      <c r="AE3" s="4">
        <f>Y3*Points!$B$2+Z3*Points!$B$3+B4</f>
        <v>4</v>
      </c>
      <c r="AF3">
        <f>AB3+AD3*10000+AE3*100000000</f>
        <v>400200110</v>
      </c>
      <c r="AG3">
        <f>AB3/AC3/X3</f>
        <v>0.40740740740740744</v>
      </c>
    </row>
    <row r="4" spans="1:33" ht="28.8" x14ac:dyDescent="0.55000000000000004">
      <c r="A4" s="6" t="s">
        <v>13</v>
      </c>
      <c r="H4" s="95" t="s">
        <v>130</v>
      </c>
      <c r="I4" s="95"/>
      <c r="J4" s="95"/>
      <c r="K4" s="95"/>
      <c r="L4" s="95"/>
      <c r="M4" s="95"/>
      <c r="N4" s="95"/>
      <c r="O4" s="95"/>
      <c r="P4" s="95"/>
      <c r="Q4" s="95"/>
      <c r="W4" s="1" t="str">
        <f>A5</f>
        <v>JTG</v>
      </c>
      <c r="X4" s="2" cm="1">
        <f t="array" ref="X4">SUM(($A$17:$A$609=W4)*(ISNUMBER($C$17:$C$609)),($B$17:$B$609=W4)*(ISNUMBER($E$17:$E$609)))</f>
        <v>3</v>
      </c>
      <c r="Y4" s="3" cm="1">
        <f t="array" ref="Y4">SUMPRODUCT(($A$17:$A$609=W4)*($C$17:$C$609&gt;$E$17:$E$609)) +
 SUMPRODUCT(($B$17:$B$609=W4)*($E$17:$E$609&gt;$C$17:$C$609))</f>
        <v>0</v>
      </c>
      <c r="Z4" s="3" cm="1">
        <f t="array" ref="Z4">SUM(($A$17:$A$609=W4)*($C$17:$C$609=$E$17:$E$609)*ISNUMBER($E$17:$E$609),($B$17:$B$609=W4)*($E$17:$E$609=$C$17:$C$609)*ISNUMBER($C$17:$C$609))</f>
        <v>0</v>
      </c>
      <c r="AA4" s="3" cm="1">
        <f t="array" ref="AA4">SUM(($A$17:$A$609=W4)*($C$17:$C$609&lt;$E$17:$E$609),($B$17:$B$609=W4)*($E$17:$E$609&lt;$C$17:$C$609))</f>
        <v>3</v>
      </c>
      <c r="AB4" s="4">
        <f>SUMIF($A$17:$A$609,W4,$C$17:$C$609)+SUMIF($B$17:$B$609,W4,$E$17:$E$609)</f>
        <v>53</v>
      </c>
      <c r="AC4" s="5">
        <f>SUMIF($A$17:$A$609,W4,$E$17:$E$609)+SUMIF($B$17:$B$609,W4,$C$17:$C$609)</f>
        <v>146</v>
      </c>
      <c r="AD4" s="3">
        <f t="shared" ref="AD4" si="0">AB4-AC4</f>
        <v>-93</v>
      </c>
      <c r="AE4" s="4">
        <f>Y4*Points!$B$2+Z4*Points!$B$3+B5</f>
        <v>0</v>
      </c>
      <c r="AF4">
        <f t="shared" ref="AF4" si="1">AB4+AD4*10000+AE4*100000000</f>
        <v>-929947</v>
      </c>
      <c r="AG4">
        <f t="shared" ref="AG4:AG6" si="2">AB4/AC4/X4</f>
        <v>0.12100456621004567</v>
      </c>
    </row>
    <row r="5" spans="1:33" x14ac:dyDescent="0.3">
      <c r="A5" s="6" t="s">
        <v>14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Gert Sibande</v>
      </c>
      <c r="X5" s="2" cm="1">
        <f t="array" ref="X5">SUM(($A$17:$A$609=W5)*(ISNUMBER($C$17:$C$609)),($B$17:$B$609=W5)*(ISNUMBER($E$17:$E$609)))</f>
        <v>3</v>
      </c>
      <c r="Y5" s="3" cm="1">
        <f t="array" ref="Y5">SUMPRODUCT(($A$17:$A$609=W5)*($C$17:$C$609&gt;$E$17:$E$609)) +
 SUMPRODUCT(($B$17:$B$609=W5)*($E$17:$E$609&gt;$C$17:$C$609))</f>
        <v>1</v>
      </c>
      <c r="Z5" s="3" cm="1">
        <f t="array" ref="Z5">SUM(($A$17:$A$609=W5)*($C$17:$C$609=$E$17:$E$609)*ISNUMBER($E$17:$E$609),($B$17:$B$609=W5)*($E$17:$E$609=$C$17:$C$609)*ISNUMBER($C$17:$C$609))</f>
        <v>0</v>
      </c>
      <c r="AA5" s="3" cm="1">
        <f t="array" ref="AA5">SUM(($A$17:$A$609=W5)*($C$17:$C$609&lt;$E$17:$E$609),($B$17:$B$609=W5)*($E$17:$E$609&lt;$C$17:$C$609))</f>
        <v>2</v>
      </c>
      <c r="AB5" s="4">
        <f>SUMIF($A$17:$A$609,W5,$C$17:$C$609)+SUMIF($B$17:$B$609,W5,$E$17:$E$609)</f>
        <v>105</v>
      </c>
      <c r="AC5" s="5">
        <f>SUMIF($A$17:$A$609,W5,$E$17:$E$609)+SUMIF($B$17:$B$609,W5,$C$17:$C$609)</f>
        <v>100</v>
      </c>
      <c r="AD5" s="3">
        <f>AB5-AC5</f>
        <v>5</v>
      </c>
      <c r="AE5" s="4">
        <f>Y5*Points!$B$2+Z5*Points!$B$3+B6</f>
        <v>2</v>
      </c>
      <c r="AF5">
        <f>AB5+AD5*10000+AE5*100000000</f>
        <v>200050105</v>
      </c>
      <c r="AG5">
        <f t="shared" si="2"/>
        <v>0.35000000000000003</v>
      </c>
    </row>
    <row r="6" spans="1:33" x14ac:dyDescent="0.3">
      <c r="A6" s="6" t="s">
        <v>19</v>
      </c>
      <c r="H6" s="6" t="str" cm="1">
        <f t="array" ref="H6">INDEX($W$3:$W$6,MATCH(LARGE($AF$3:$AF$6-ROW($AF$3:$AF$6)/COUNT($AF$3:$AF$6),ROW(H6)-ROW(H$6)+1),$AF$3:$AF$6-ROW($AF$3:$AF$6)/COUNT($AF$3:$AF$6),0))</f>
        <v>uMzinyathi</v>
      </c>
      <c r="I6" s="7">
        <f>VLOOKUP($H6,$W$3:$AE$10,2,0)</f>
        <v>3</v>
      </c>
      <c r="J6" s="7">
        <f>VLOOKUP($H6,$W$3:$AE$10,3,0)</f>
        <v>3</v>
      </c>
      <c r="K6" s="7">
        <f>VLOOKUP($H6,$W$3:$AE$10,5,0)</f>
        <v>0</v>
      </c>
      <c r="L6" s="7">
        <f>VLOOKUP($H6,$W$3:$AE$10,4,0)</f>
        <v>0</v>
      </c>
      <c r="M6" s="7">
        <f>VLOOKUP($H6,$W$3:$AE$10,9,0)</f>
        <v>6</v>
      </c>
      <c r="N6" s="7">
        <f>VLOOKUP($H6,$W$3:$AE$10,6,0)</f>
        <v>149</v>
      </c>
      <c r="O6" s="7">
        <f>VLOOKUP($H6,$W$3:$AE$10,7,0)</f>
        <v>81</v>
      </c>
      <c r="P6" s="7">
        <f>VLOOKUP($H6,$W$3:$AE$10,8,0)</f>
        <v>68</v>
      </c>
      <c r="Q6" s="60">
        <f>VLOOKUP($H6,$W$3:$AG$10,11,0)</f>
        <v>0.61316872427983538</v>
      </c>
      <c r="W6" s="1" t="str">
        <f t="shared" ref="W6" si="3">A7</f>
        <v>uMzinyathi</v>
      </c>
      <c r="X6" s="2" cm="1">
        <f t="array" ref="X6">SUM(($A$17:$A$609=W6)*(ISNUMBER($C$17:$C$609)),($B$17:$B$609=W6)*(ISNUMBER($E$17:$E$609)))</f>
        <v>3</v>
      </c>
      <c r="Y6" s="3" cm="1">
        <f t="array" ref="Y6">SUMPRODUCT(($A$17:$A$609=W6)*($C$17:$C$609&gt;$E$17:$E$609)) +
 SUMPRODUCT(($B$17:$B$609=W6)*($E$17:$E$609&gt;$C$17:$C$609))</f>
        <v>3</v>
      </c>
      <c r="Z6" s="3" cm="1">
        <f t="array" ref="Z6">SUM(($A$17:$A$609=W6)*($C$17:$C$609=$E$17:$E$609)*ISNUMBER($E$17:$E$609),($B$17:$B$609=W6)*($E$17:$E$609=$C$17:$C$609)*ISNUMBER($C$17:$C$609))</f>
        <v>0</v>
      </c>
      <c r="AA6" s="3" cm="1">
        <f t="array" ref="AA6">SUM(($A$17:$A$609=W6)*($C$17:$C$609&lt;$E$17:$E$609),($B$17:$B$609=W6)*($E$17:$E$609&lt;$C$17:$C$609))</f>
        <v>0</v>
      </c>
      <c r="AB6" s="4">
        <f>SUMIF($A$17:$A$609,W6,$C$17:$C$609)+SUMIF($B$17:$B$609,W6,$E$17:$E$609)</f>
        <v>149</v>
      </c>
      <c r="AC6" s="5">
        <f>SUMIF($A$17:$A$609,W6,$E$17:$E$609)+SUMIF($B$17:$B$609,W6,$C$17:$C$609)</f>
        <v>81</v>
      </c>
      <c r="AD6" s="3">
        <f t="shared" ref="AD6" si="4">AB6-AC6</f>
        <v>68</v>
      </c>
      <c r="AE6" s="4">
        <f>Y6*Points!$B$2+Z6*Points!$B$3+B7</f>
        <v>6</v>
      </c>
      <c r="AF6">
        <f t="shared" ref="AF6" si="5">AB6+AD6*10000+AE6*100000000</f>
        <v>600680149</v>
      </c>
      <c r="AG6">
        <f t="shared" si="2"/>
        <v>0.61316872427983538</v>
      </c>
    </row>
    <row r="7" spans="1:33" x14ac:dyDescent="0.3">
      <c r="A7" s="6" t="s">
        <v>18</v>
      </c>
      <c r="H7" s="6" t="str" cm="1">
        <f t="array" ref="H7">INDEX($W$3:$W$6,MATCH(LARGE($AF$3:$AF$6-ROW($AF$3:$AF$6)/COUNT($AF$3:$AF$6),ROW(H7)-ROW(H$6)+1),$AF$3:$AF$6-ROW($AF$3:$AF$6)/COUNT($AF$3:$AF$6),0))</f>
        <v>Alfred Nzo</v>
      </c>
      <c r="I7" s="7">
        <f t="shared" ref="I7:I9" si="6">VLOOKUP($H7,$W$3:$AE$10,2,0)</f>
        <v>3</v>
      </c>
      <c r="J7" s="7">
        <f t="shared" ref="J7:J9" si="7">VLOOKUP($H7,$W$3:$AE$10,3,0)</f>
        <v>2</v>
      </c>
      <c r="K7" s="7">
        <f t="shared" ref="K7:K9" si="8">VLOOKUP($H7,$W$3:$AE$10,5,0)</f>
        <v>1</v>
      </c>
      <c r="L7" s="7">
        <f>VLOOKUP($H7,$W$3:$AE$10,4,0)</f>
        <v>0</v>
      </c>
      <c r="M7" s="7">
        <f t="shared" ref="M7:M9" si="9">VLOOKUP($H7,$W$3:$AE$10,9,0)</f>
        <v>4</v>
      </c>
      <c r="N7" s="7">
        <f t="shared" ref="N7:N9" si="10">VLOOKUP($H7,$W$3:$AE$10,6,0)</f>
        <v>110</v>
      </c>
      <c r="O7" s="7">
        <f t="shared" ref="O7:O9" si="11">VLOOKUP($H7,$W$3:$AE$10,7,0)</f>
        <v>90</v>
      </c>
      <c r="P7" s="7">
        <f t="shared" ref="P7:P9" si="12">VLOOKUP($H7,$W$3:$AE$10,8,0)</f>
        <v>20</v>
      </c>
      <c r="Q7" s="60">
        <f t="shared" ref="Q7:Q9" si="13">VLOOKUP($H7,$W$3:$AG$10,11,0)</f>
        <v>0.40740740740740744</v>
      </c>
      <c r="W7" s="1"/>
      <c r="X7" s="2"/>
      <c r="Y7" s="3"/>
      <c r="Z7" s="3"/>
      <c r="AA7" s="3"/>
      <c r="AB7" s="4"/>
      <c r="AC7" s="5"/>
      <c r="AD7" s="3"/>
      <c r="AE7" s="4"/>
    </row>
    <row r="8" spans="1:33" x14ac:dyDescent="0.3">
      <c r="A8" s="6"/>
      <c r="H8" s="6" t="str" cm="1">
        <f t="array" ref="H8">INDEX($W$3:$W$6,MATCH(LARGE($AF$3:$AF$6-ROW($AF$3:$AF$6)/COUNT($AF$3:$AF$6),ROW(H8)-ROW(H$6)+1),$AF$3:$AF$6-ROW($AF$3:$AF$6)/COUNT($AF$3:$AF$6),0))</f>
        <v>Gert Sibande</v>
      </c>
      <c r="I8" s="7">
        <f t="shared" si="6"/>
        <v>3</v>
      </c>
      <c r="J8" s="7">
        <f t="shared" si="7"/>
        <v>1</v>
      </c>
      <c r="K8" s="7">
        <f t="shared" si="8"/>
        <v>2</v>
      </c>
      <c r="L8" s="7">
        <f>VLOOKUP($H8,$W$3:$AE$10,4,0)</f>
        <v>0</v>
      </c>
      <c r="M8" s="7">
        <f t="shared" si="9"/>
        <v>2</v>
      </c>
      <c r="N8" s="7">
        <f t="shared" si="10"/>
        <v>105</v>
      </c>
      <c r="O8" s="7">
        <f t="shared" si="11"/>
        <v>100</v>
      </c>
      <c r="P8" s="7">
        <f t="shared" si="12"/>
        <v>5</v>
      </c>
      <c r="Q8" s="60">
        <f t="shared" si="13"/>
        <v>0.35000000000000003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A9" s="6"/>
      <c r="H9" s="6" t="str" cm="1">
        <f t="array" ref="H9">INDEX($W$3:$W$6,MATCH(LARGE($AF$3:$AF$6-ROW($AF$3:$AF$6)/COUNT($AF$3:$AF$6),ROW(H9)-ROW(H$6)+1),$AF$3:$AF$6-ROW($AF$3:$AF$6)/COUNT($AF$3:$AF$6),0))</f>
        <v>JTG</v>
      </c>
      <c r="I9" s="51">
        <f t="shared" si="6"/>
        <v>3</v>
      </c>
      <c r="J9" s="51">
        <f t="shared" si="7"/>
        <v>0</v>
      </c>
      <c r="K9" s="51">
        <f t="shared" si="8"/>
        <v>3</v>
      </c>
      <c r="L9" s="51">
        <f>VLOOKUP($H9,$W$3:$AE$10,4,0)</f>
        <v>0</v>
      </c>
      <c r="M9" s="51">
        <f t="shared" si="9"/>
        <v>0</v>
      </c>
      <c r="N9" s="51">
        <f t="shared" si="10"/>
        <v>53</v>
      </c>
      <c r="O9" s="51">
        <f t="shared" si="11"/>
        <v>146</v>
      </c>
      <c r="P9" s="51">
        <f t="shared" si="12"/>
        <v>-93</v>
      </c>
      <c r="Q9" s="77">
        <f t="shared" si="13"/>
        <v>0.12100456621004567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A10" s="6"/>
      <c r="H10" s="67"/>
      <c r="I10" s="68"/>
      <c r="J10" s="68"/>
      <c r="K10" s="68"/>
      <c r="L10" s="68"/>
      <c r="M10" s="68"/>
      <c r="N10" s="68"/>
      <c r="O10" s="68"/>
      <c r="P10" s="68"/>
      <c r="Q10" s="68"/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A11" s="6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2" x14ac:dyDescent="0.3">
      <c r="A17" s="21" t="s">
        <v>19</v>
      </c>
      <c r="B17" s="22" t="s">
        <v>18</v>
      </c>
      <c r="C17" s="23">
        <v>32</v>
      </c>
      <c r="D17" s="23" t="s">
        <v>16</v>
      </c>
      <c r="E17" s="24">
        <v>47</v>
      </c>
      <c r="F17" s="3"/>
      <c r="H17"/>
      <c r="I17"/>
      <c r="J17" s="3"/>
      <c r="K17" s="3"/>
      <c r="L17" s="3"/>
    </row>
    <row r="18" spans="1:12" ht="15" thickBot="1" x14ac:dyDescent="0.35">
      <c r="A18" s="27" t="s">
        <v>13</v>
      </c>
      <c r="B18" s="28" t="s">
        <v>14</v>
      </c>
      <c r="C18" s="29">
        <v>45</v>
      </c>
      <c r="D18" s="29" t="s">
        <v>16</v>
      </c>
      <c r="E18" s="30">
        <v>16</v>
      </c>
      <c r="F18" s="3"/>
    </row>
    <row r="19" spans="1:12" x14ac:dyDescent="0.3">
      <c r="F19" s="3"/>
      <c r="H19"/>
      <c r="I19"/>
    </row>
    <row r="20" spans="1:12" x14ac:dyDescent="0.3">
      <c r="F20" s="3"/>
      <c r="H20"/>
      <c r="I20"/>
    </row>
    <row r="21" spans="1:12" ht="15" thickBot="1" x14ac:dyDescent="0.35">
      <c r="A21" s="20" t="s">
        <v>104</v>
      </c>
      <c r="F21" s="3"/>
      <c r="H21"/>
      <c r="I21"/>
    </row>
    <row r="22" spans="1:12" ht="15" thickBot="1" x14ac:dyDescent="0.35">
      <c r="A22" s="53" t="s">
        <v>13</v>
      </c>
      <c r="B22" s="54" t="s">
        <v>18</v>
      </c>
      <c r="C22" s="55">
        <v>33</v>
      </c>
      <c r="D22" s="55" t="str">
        <f>D17</f>
        <v>:</v>
      </c>
      <c r="E22" s="56">
        <v>48</v>
      </c>
      <c r="H22"/>
      <c r="I22"/>
      <c r="J22" s="3"/>
      <c r="K22" s="3"/>
      <c r="L22" s="3"/>
    </row>
    <row r="25" spans="1:12" ht="15" thickBot="1" x14ac:dyDescent="0.35">
      <c r="A25" s="20" t="s">
        <v>141</v>
      </c>
    </row>
    <row r="26" spans="1:12" ht="15" thickBot="1" x14ac:dyDescent="0.35">
      <c r="A26" s="53" t="s">
        <v>14</v>
      </c>
      <c r="B26" s="54" t="s">
        <v>19</v>
      </c>
      <c r="C26" s="55">
        <v>21</v>
      </c>
      <c r="D26" s="55" t="s">
        <v>16</v>
      </c>
      <c r="E26" s="56">
        <v>47</v>
      </c>
      <c r="H26"/>
      <c r="I26"/>
      <c r="J26" s="3"/>
      <c r="K26" s="3"/>
      <c r="L26" s="3"/>
    </row>
    <row r="29" spans="1:12" ht="15" thickBot="1" x14ac:dyDescent="0.35">
      <c r="A29" s="20" t="s">
        <v>145</v>
      </c>
    </row>
    <row r="30" spans="1:12" x14ac:dyDescent="0.3">
      <c r="A30" s="21" t="s">
        <v>19</v>
      </c>
      <c r="B30" s="22" t="s">
        <v>13</v>
      </c>
      <c r="C30" s="23">
        <v>26</v>
      </c>
      <c r="D30" s="23" t="s">
        <v>16</v>
      </c>
      <c r="E30" s="24">
        <v>32</v>
      </c>
    </row>
    <row r="31" spans="1:12" ht="15" thickBot="1" x14ac:dyDescent="0.35">
      <c r="A31" s="27" t="s">
        <v>18</v>
      </c>
      <c r="B31" s="28" t="s">
        <v>14</v>
      </c>
      <c r="C31" s="29">
        <v>54</v>
      </c>
      <c r="D31" s="29" t="s">
        <v>16</v>
      </c>
      <c r="E31" s="30">
        <v>16</v>
      </c>
    </row>
    <row r="32" spans="1:12" x14ac:dyDescent="0.3">
      <c r="G32" s="42"/>
      <c r="H32"/>
      <c r="I32"/>
      <c r="J32" s="3"/>
      <c r="K32" s="3"/>
      <c r="L32" s="3"/>
    </row>
    <row r="33" spans="1:12" x14ac:dyDescent="0.3">
      <c r="H33"/>
      <c r="I33"/>
      <c r="J33" s="3"/>
      <c r="K33" s="3"/>
      <c r="L33" s="3"/>
    </row>
    <row r="34" spans="1:12" ht="15" thickBot="1" x14ac:dyDescent="0.35">
      <c r="A34" s="20"/>
      <c r="H34"/>
      <c r="I34"/>
      <c r="J34" s="3"/>
      <c r="K34" s="3"/>
      <c r="L34" s="3"/>
    </row>
    <row r="35" spans="1:12" x14ac:dyDescent="0.3">
      <c r="A35" s="21"/>
      <c r="B35" s="22"/>
      <c r="C35" s="23"/>
      <c r="D35" s="23"/>
      <c r="E35" s="24"/>
      <c r="H35"/>
      <c r="I35"/>
      <c r="J35" s="3"/>
      <c r="K35" s="3"/>
      <c r="L35" s="3"/>
    </row>
    <row r="36" spans="1:12" x14ac:dyDescent="0.3">
      <c r="A36" s="25"/>
      <c r="B36" s="6"/>
      <c r="C36" s="7"/>
      <c r="D36" s="7"/>
      <c r="E36" s="26"/>
    </row>
    <row r="37" spans="1:12" ht="15" thickBot="1" x14ac:dyDescent="0.35">
      <c r="A37" s="25"/>
      <c r="B37" s="6"/>
      <c r="C37" s="7"/>
      <c r="D37" s="7"/>
      <c r="E37" s="26"/>
    </row>
    <row r="38" spans="1:12" ht="15" thickBot="1" x14ac:dyDescent="0.35">
      <c r="A38" s="25"/>
      <c r="B38" s="22"/>
      <c r="C38" s="29"/>
      <c r="D38" s="29"/>
      <c r="E38" s="30"/>
    </row>
    <row r="39" spans="1:12" ht="15" thickBot="1" x14ac:dyDescent="0.35">
      <c r="A39" s="28"/>
      <c r="B39" s="22"/>
      <c r="C39" s="29"/>
      <c r="D39" s="29"/>
      <c r="E39" s="30"/>
    </row>
    <row r="40" spans="1:12" ht="15" thickBot="1" x14ac:dyDescent="0.35">
      <c r="A40" s="25"/>
      <c r="B40" s="25"/>
      <c r="C40" s="29"/>
      <c r="D40" s="29"/>
      <c r="E40" s="30"/>
    </row>
    <row r="41" spans="1:12" ht="15" thickBot="1" x14ac:dyDescent="0.35">
      <c r="A41" s="25"/>
      <c r="B41" s="22"/>
      <c r="C41" s="29"/>
      <c r="D41" s="29"/>
      <c r="E41" s="30"/>
    </row>
    <row r="42" spans="1:12" ht="15" thickBot="1" x14ac:dyDescent="0.35">
      <c r="A42" s="25"/>
      <c r="B42" s="22"/>
      <c r="C42" s="29"/>
      <c r="D42" s="29"/>
      <c r="E42" s="30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C8"/>
  <sheetViews>
    <sheetView workbookViewId="0">
      <selection activeCell="B12" sqref="B12"/>
    </sheetView>
  </sheetViews>
  <sheetFormatPr defaultRowHeight="14.4" x14ac:dyDescent="0.3"/>
  <cols>
    <col min="1" max="1" width="19.5546875" customWidth="1"/>
    <col min="3" max="3" width="61.6640625" customWidth="1"/>
  </cols>
  <sheetData>
    <row r="1" spans="1:3" x14ac:dyDescent="0.3">
      <c r="A1" s="16" t="s">
        <v>87</v>
      </c>
    </row>
    <row r="2" spans="1:3" x14ac:dyDescent="0.3">
      <c r="A2" s="15" t="s">
        <v>88</v>
      </c>
      <c r="B2" s="18">
        <v>2</v>
      </c>
    </row>
    <row r="3" spans="1:3" x14ac:dyDescent="0.3">
      <c r="A3" s="6" t="s">
        <v>89</v>
      </c>
      <c r="B3" s="18">
        <v>1</v>
      </c>
    </row>
    <row r="4" spans="1:3" x14ac:dyDescent="0.3">
      <c r="A4" s="6" t="s">
        <v>90</v>
      </c>
      <c r="B4" s="18">
        <v>0</v>
      </c>
    </row>
    <row r="7" spans="1:3" x14ac:dyDescent="0.3">
      <c r="C7" t="s">
        <v>91</v>
      </c>
    </row>
    <row r="8" spans="1:3" x14ac:dyDescent="0.3">
      <c r="C8" s="17" t="s">
        <v>92</v>
      </c>
    </row>
  </sheetData>
  <sheetProtection password="E87F" sheet="1" objects="1" scenarios="1"/>
  <hyperlinks>
    <hyperlink ref="C8" r:id="rId1" xr:uid="{00000000-0004-0000-0400-000000000000}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0F800-7F41-48E0-971D-6E9847D645CF}">
  <sheetPr codeName="Sheet17">
    <tabColor theme="9" tint="-0.499984740745262"/>
  </sheetPr>
  <dimension ref="A1:AG45"/>
  <sheetViews>
    <sheetView zoomScale="120" zoomScaleNormal="120" workbookViewId="0">
      <selection activeCell="H9" sqref="H9"/>
    </sheetView>
  </sheetViews>
  <sheetFormatPr defaultRowHeight="14.4" x14ac:dyDescent="0.3"/>
  <cols>
    <col min="1" max="1" width="23.88671875" bestFit="1" customWidth="1"/>
    <col min="2" max="2" width="10.109375" bestFit="1" customWidth="1"/>
    <col min="3" max="3" width="3" bestFit="1" customWidth="1"/>
    <col min="4" max="4" width="1.5546875" bestFit="1" customWidth="1"/>
    <col min="5" max="5" width="5" bestFit="1" customWidth="1"/>
    <col min="6" max="6" width="11.44140625" customWidth="1"/>
    <col min="7" max="7" width="10" style="3" bestFit="1" customWidth="1"/>
    <col min="8" max="8" width="10.664062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4" bestFit="1" customWidth="1"/>
    <col min="17" max="17" width="12" bestFit="1" customWidth="1"/>
    <col min="21" max="21" width="11.44140625" customWidth="1"/>
    <col min="23" max="23" width="11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47" t="s">
        <v>129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West Rand</v>
      </c>
      <c r="X3" s="2" cm="1">
        <f t="array" ref="X3">SUM(($A$17:$A$619=W3)*(ISNUMBER($C$17:$C$619)),($B$17:$B$619=W3)*(ISNUMBER($E$17:$E$619)))</f>
        <v>5</v>
      </c>
      <c r="Y3" s="3" cm="1">
        <f t="array" ref="Y3">SUMPRODUCT(($A$17:$A$619=W3)*($C$17:$C$619&gt;$E$17:$E$619)) +
 SUMPRODUCT(($B$17:$B$619=W3)*($E$17:$E$619&gt;$C$17:$C$619))</f>
        <v>5</v>
      </c>
      <c r="Z3" s="3" cm="1">
        <f t="array" ref="Z3">SUM(($A$17:$A$619=W3)*($C$17:$C$619=$E$17:$E$619)*ISNUMBER($E$17:$E$619),($B$17:$B$619=W3)*($E$17:$E$619=$C$17:$C$619)*ISNUMBER($C$17:$C$619))</f>
        <v>0</v>
      </c>
      <c r="AA3" s="3" cm="1">
        <f t="array" ref="AA3">SUM(($A$17:$A$619=W3)*($C$17:$C$619&lt;$E$17:$E$619),($B$17:$B$619=W3)*($E$17:$E$619&lt;$C$17:$C$619))</f>
        <v>0</v>
      </c>
      <c r="AB3" s="4">
        <f t="shared" ref="AB3:AB9" si="0">SUMIF($A$17:$A$619,W3,$C$17:$C$619)+SUMIF($B$17:$B$619,W3,$E$17:$E$619)</f>
        <v>247</v>
      </c>
      <c r="AC3" s="5">
        <f t="shared" ref="AC3:AC9" si="1">SUMIF($A$17:$A$619,W3,$E$17:$E$619)+SUMIF($B$17:$B$619,W3,$C$17:$C$619)</f>
        <v>121</v>
      </c>
      <c r="AD3" s="3">
        <f>AB3-AC3</f>
        <v>126</v>
      </c>
      <c r="AE3" s="4">
        <f>Y3*Points!$B$2+Z3*Points!$B$3</f>
        <v>10</v>
      </c>
      <c r="AF3">
        <f>AB3+AD3*10000+AE3*100000000</f>
        <v>1001260247</v>
      </c>
      <c r="AG3">
        <f>AB3/AC3/X3</f>
        <v>0.40826446280991735</v>
      </c>
    </row>
    <row r="4" spans="1:33" ht="28.8" x14ac:dyDescent="0.55000000000000004">
      <c r="A4" s="6" t="s">
        <v>105</v>
      </c>
      <c r="H4" s="96" t="s">
        <v>129</v>
      </c>
      <c r="I4" s="97"/>
      <c r="J4" s="97"/>
      <c r="K4" s="97"/>
      <c r="L4" s="97"/>
      <c r="M4" s="97"/>
      <c r="N4" s="97"/>
      <c r="O4" s="97"/>
      <c r="P4" s="97"/>
      <c r="Q4" s="97"/>
      <c r="W4" s="1" t="str">
        <f>A5</f>
        <v>Sekhukhune</v>
      </c>
      <c r="X4" s="2" cm="1">
        <f t="array" ref="X4">SUM(($A$17:$A$619=W4)*(ISNUMBER($C$17:$C$619)),($B$17:$B$619=W4)*(ISNUMBER($E$17:$E$619)))</f>
        <v>5</v>
      </c>
      <c r="Y4" s="3" cm="1">
        <f t="array" ref="Y4">SUMPRODUCT(($A$17:$A$619=W4)*($C$17:$C$619&gt;$E$17:$E$619)) +
 SUMPRODUCT(($B$17:$B$619=W4)*($E$17:$E$619&gt;$C$17:$C$619))</f>
        <v>3</v>
      </c>
      <c r="Z4" s="3" cm="1">
        <f t="array" ref="Z4">SUM(($A$17:$A$619=W4)*($C$17:$C$619=$E$17:$E$619)*ISNUMBER($E$17:$E$619),($B$17:$B$619=W4)*($E$17:$E$619=$C$17:$C$619)*ISNUMBER($C$17:$C$619))</f>
        <v>1</v>
      </c>
      <c r="AA4" s="3" cm="1">
        <f t="array" ref="AA4">SUM(($A$17:$A$619=W4)*($C$17:$C$619&lt;$E$17:$E$619),($B$17:$B$619=W4)*($E$17:$E$619&lt;$C$17:$C$619))</f>
        <v>1</v>
      </c>
      <c r="AB4" s="4">
        <f t="shared" si="0"/>
        <v>197</v>
      </c>
      <c r="AC4" s="5">
        <f t="shared" si="1"/>
        <v>184</v>
      </c>
      <c r="AD4" s="3">
        <f t="shared" ref="AD4" si="2">AB4-AC4</f>
        <v>13</v>
      </c>
      <c r="AE4" s="4">
        <f>Y4*Points!$B$2+Z4*Points!$B$3</f>
        <v>7</v>
      </c>
      <c r="AF4">
        <f t="shared" ref="AF4" si="3">AB4+AD4*10000+AE4*100000000</f>
        <v>700130197</v>
      </c>
      <c r="AG4">
        <f t="shared" ref="AG4:AG8" si="4">AB4/AC4/X4</f>
        <v>0.21413043478260868</v>
      </c>
    </row>
    <row r="5" spans="1:33" x14ac:dyDescent="0.3">
      <c r="A5" s="6" t="s">
        <v>25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Nkangala A</v>
      </c>
      <c r="X5" s="2" cm="1">
        <f t="array" ref="X5">SUM(($A$17:$A$619=W5)*(ISNUMBER($C$17:$C$619)),($B$17:$B$619=W5)*(ISNUMBER($E$17:$E$619)))</f>
        <v>5</v>
      </c>
      <c r="Y5" s="3" cm="1">
        <f t="array" ref="Y5">SUMPRODUCT(($A$17:$A$619=W5)*($C$17:$C$619&gt;$E$17:$E$619)) +
 SUMPRODUCT(($B$17:$B$619=W5)*($E$17:$E$619&gt;$C$17:$C$619))</f>
        <v>3</v>
      </c>
      <c r="Z5" s="3" cm="1">
        <f t="array" ref="Z5">SUM(($A$17:$A$619=W5)*($C$17:$C$619=$E$17:$E$619)*ISNUMBER($E$17:$E$619),($B$17:$B$619=W5)*($E$17:$E$619=$C$17:$C$619)*ISNUMBER($C$17:$C$619))</f>
        <v>1</v>
      </c>
      <c r="AA5" s="3" cm="1">
        <f t="array" ref="AA5">SUM(($A$17:$A$619=W5)*($C$17:$C$619&lt;$E$17:$E$619),($B$17:$B$619=W5)*($E$17:$E$619&lt;$C$17:$C$619))</f>
        <v>1</v>
      </c>
      <c r="AB5" s="4">
        <f t="shared" si="0"/>
        <v>219</v>
      </c>
      <c r="AC5" s="5">
        <f t="shared" si="1"/>
        <v>227</v>
      </c>
      <c r="AD5" s="3">
        <f>AB5-AC5</f>
        <v>-8</v>
      </c>
      <c r="AE5" s="4">
        <f>Y5*Points!$B$2+Z5*Points!$B$3</f>
        <v>7</v>
      </c>
      <c r="AF5">
        <f>AB5+AD5*10000+AE5*100000000</f>
        <v>699920219</v>
      </c>
      <c r="AG5">
        <f t="shared" si="4"/>
        <v>0.19295154185022026</v>
      </c>
    </row>
    <row r="6" spans="1:33" x14ac:dyDescent="0.3">
      <c r="A6" s="6" t="s">
        <v>30</v>
      </c>
      <c r="H6" s="6" t="str" cm="1">
        <f t="array" ref="H6">INDEX($W$3:$W$8,MATCH(LARGE($AF$3:$AF$8-ROW($AF$3:$AF$8)/COUNT($AF$3:$AF$8),ROW(H6)-ROW(H$6)+1),$AF$3:$AF$8-ROW($AF$3:$AF$8)/COUNT($AF$3:$AF$8),0))</f>
        <v>West Rand</v>
      </c>
      <c r="I6" s="7">
        <f>VLOOKUP($H6,$W$3:$AE$9,2,0)</f>
        <v>5</v>
      </c>
      <c r="J6" s="7">
        <f>VLOOKUP($H6,$W$3:$AE$9,3,0)</f>
        <v>5</v>
      </c>
      <c r="K6" s="7">
        <f>VLOOKUP($H6,$W$3:$AE$9,5,0)</f>
        <v>0</v>
      </c>
      <c r="L6" s="7">
        <f>VLOOKUP($H6,$W$3:$AE$9,4,0)</f>
        <v>0</v>
      </c>
      <c r="M6" s="7">
        <f>VLOOKUP($H6,$W$3:$AE$9,9,0)</f>
        <v>10</v>
      </c>
      <c r="N6" s="7">
        <f>VLOOKUP($H6,$W$3:$AE$9,6,0)</f>
        <v>247</v>
      </c>
      <c r="O6" s="7">
        <f>VLOOKUP($H6,$W$3:$AE$9,7,0)</f>
        <v>121</v>
      </c>
      <c r="P6" s="7">
        <f>VLOOKUP($H6,$W$3:$AE$9,8,0)</f>
        <v>126</v>
      </c>
      <c r="Q6" s="60">
        <f>VLOOKUP($H6,$W$3:$AG$9,11,0)</f>
        <v>0.40826446280991735</v>
      </c>
      <c r="W6" s="1" t="str">
        <f t="shared" ref="W6:W9" si="5">A7</f>
        <v>Ilembe</v>
      </c>
      <c r="X6" s="2" cm="1">
        <f t="array" ref="X6">SUM(($A$17:$A$619=W6)*(ISNUMBER($C$17:$C$619)),($B$17:$B$619=W6)*(ISNUMBER($E$17:$E$619)))</f>
        <v>5</v>
      </c>
      <c r="Y6" s="3" cm="1">
        <f t="array" ref="Y6">SUMPRODUCT(($A$17:$A$619=W6)*($C$17:$C$619&gt;$E$17:$E$619)) +
 SUMPRODUCT(($B$17:$B$619=W6)*($E$17:$E$619&gt;$C$17:$C$619))</f>
        <v>2</v>
      </c>
      <c r="Z6" s="3" cm="1">
        <f t="array" ref="Z6">SUM(($A$17:$A$619=W6)*($C$17:$C$619=$E$17:$E$619)*ISNUMBER($E$17:$E$619),($B$17:$B$619=W6)*($E$17:$E$619=$C$17:$C$619)*ISNUMBER($C$17:$C$619))</f>
        <v>0</v>
      </c>
      <c r="AA6" s="3" cm="1">
        <f t="array" ref="AA6">SUM(($A$17:$A$619=W6)*($C$17:$C$619&lt;$E$17:$E$619),($B$17:$B$619=W6)*($E$17:$E$619&lt;$C$17:$C$619))</f>
        <v>3</v>
      </c>
      <c r="AB6" s="4">
        <f t="shared" si="0"/>
        <v>197</v>
      </c>
      <c r="AC6" s="5">
        <f t="shared" si="1"/>
        <v>222</v>
      </c>
      <c r="AD6" s="3">
        <f t="shared" ref="AD6:AD9" si="6">AB6-AC6</f>
        <v>-25</v>
      </c>
      <c r="AE6" s="4">
        <f>Y6*Points!$B$2+Z6*Points!$B$3</f>
        <v>4</v>
      </c>
      <c r="AF6">
        <f t="shared" ref="AF6:AF9" si="7">AB6+AD6*10000+AE6*100000000</f>
        <v>399750197</v>
      </c>
      <c r="AG6">
        <f t="shared" si="4"/>
        <v>0.1774774774774775</v>
      </c>
    </row>
    <row r="7" spans="1:33" x14ac:dyDescent="0.3">
      <c r="A7" s="6" t="s">
        <v>32</v>
      </c>
      <c r="H7" s="6" t="str" cm="1">
        <f t="array" ref="H7">INDEX($W$3:$W$8,MATCH(LARGE($AF$3:$AF$8-ROW($AF$3:$AF$8)/COUNT($AF$3:$AF$8),ROW(H7)-ROW(H$6)+1),$AF$3:$AF$8-ROW($AF$3:$AF$8)/COUNT($AF$3:$AF$8),0))</f>
        <v>Sekhukhune</v>
      </c>
      <c r="I7" s="7">
        <f t="shared" ref="I7:I11" si="8">VLOOKUP($H7,$W$3:$AE$9,2,0)</f>
        <v>5</v>
      </c>
      <c r="J7" s="7">
        <f t="shared" ref="J7:J11" si="9">VLOOKUP($H7,$W$3:$AE$9,3,0)</f>
        <v>3</v>
      </c>
      <c r="K7" s="7">
        <f t="shared" ref="K7:K11" si="10">VLOOKUP($H7,$W$3:$AE$9,5,0)</f>
        <v>1</v>
      </c>
      <c r="L7" s="7">
        <f t="shared" ref="L7:L11" si="11">VLOOKUP($H7,$W$3:$AE$9,4,0)</f>
        <v>1</v>
      </c>
      <c r="M7" s="7">
        <f t="shared" ref="M7:M11" si="12">VLOOKUP($H7,$W$3:$AE$9,9,0)</f>
        <v>7</v>
      </c>
      <c r="N7" s="7">
        <f t="shared" ref="N7:N11" si="13">VLOOKUP($H7,$W$3:$AE$9,6,0)</f>
        <v>197</v>
      </c>
      <c r="O7" s="7">
        <f t="shared" ref="O7:O11" si="14">VLOOKUP($H7,$W$3:$AE$9,7,0)</f>
        <v>184</v>
      </c>
      <c r="P7" s="7">
        <f t="shared" ref="P7:P11" si="15">VLOOKUP($H7,$W$3:$AE$9,8,0)</f>
        <v>13</v>
      </c>
      <c r="Q7" s="60">
        <f t="shared" ref="Q7:Q11" si="16">VLOOKUP($H7,$W$3:$AG$9,11,0)</f>
        <v>0.21413043478260868</v>
      </c>
      <c r="W7" s="1" t="str">
        <f t="shared" si="5"/>
        <v>Fezile Dabi</v>
      </c>
      <c r="X7" s="2" cm="1">
        <f t="array" ref="X7">SUM(($A$17:$A$619=W7)*(ISNUMBER($C$17:$C$619)),($B$17:$B$619=W7)*(ISNUMBER($E$17:$E$619)))</f>
        <v>5</v>
      </c>
      <c r="Y7" s="3" cm="1">
        <f t="array" ref="Y7">SUMPRODUCT(($A$17:$A$619=W7)*($C$17:$C$619&gt;$E$17:$E$619)) +
 SUMPRODUCT(($B$17:$B$619=W7)*($E$17:$E$619&gt;$C$17:$C$619))</f>
        <v>0</v>
      </c>
      <c r="Z7" s="3" cm="1">
        <f t="array" ref="Z7">SUM(($A$17:$A$619=W7)*($C$17:$C$619=$E$17:$E$619)*ISNUMBER($E$17:$E$619),($B$17:$B$619=W7)*($E$17:$E$619=$C$17:$C$619)*ISNUMBER($C$17:$C$619))</f>
        <v>0</v>
      </c>
      <c r="AA7" s="3" cm="1">
        <f t="array" ref="AA7">SUM(($A$17:$A$619=W7)*($C$17:$C$619&lt;$E$17:$E$619),($B$17:$B$619=W7)*($E$17:$E$619&lt;$C$17:$C$619))</f>
        <v>5</v>
      </c>
      <c r="AB7" s="4">
        <f t="shared" si="0"/>
        <v>137</v>
      </c>
      <c r="AC7" s="5">
        <f t="shared" si="1"/>
        <v>213</v>
      </c>
      <c r="AD7" s="3">
        <f t="shared" si="6"/>
        <v>-76</v>
      </c>
      <c r="AE7" s="4">
        <f>Y7*Points!$B$2+Z7*Points!$B$3</f>
        <v>0</v>
      </c>
      <c r="AF7">
        <f t="shared" si="7"/>
        <v>-759863</v>
      </c>
      <c r="AG7">
        <f t="shared" si="4"/>
        <v>0.12863849765258215</v>
      </c>
    </row>
    <row r="8" spans="1:33" x14ac:dyDescent="0.3">
      <c r="A8" s="6" t="s">
        <v>33</v>
      </c>
      <c r="H8" s="6" t="str" cm="1">
        <f t="array" ref="H8">INDEX($W$3:$W$8,MATCH(LARGE($AF$3:$AF$8-ROW($AF$3:$AF$8)/COUNT($AF$3:$AF$8),ROW(H8)-ROW(H$6)+1),$AF$3:$AF$8-ROW($AF$3:$AF$8)/COUNT($AF$3:$AF$8),0))</f>
        <v>Nkangala A</v>
      </c>
      <c r="I8" s="7">
        <f t="shared" si="8"/>
        <v>5</v>
      </c>
      <c r="J8" s="7">
        <f t="shared" si="9"/>
        <v>3</v>
      </c>
      <c r="K8" s="7">
        <f t="shared" si="10"/>
        <v>1</v>
      </c>
      <c r="L8" s="7">
        <f t="shared" si="11"/>
        <v>1</v>
      </c>
      <c r="M8" s="7">
        <f t="shared" si="12"/>
        <v>7</v>
      </c>
      <c r="N8" s="7">
        <f t="shared" si="13"/>
        <v>219</v>
      </c>
      <c r="O8" s="7">
        <f t="shared" si="14"/>
        <v>227</v>
      </c>
      <c r="P8" s="7">
        <f t="shared" si="15"/>
        <v>-8</v>
      </c>
      <c r="Q8" s="60">
        <f t="shared" si="16"/>
        <v>0.19295154185022026</v>
      </c>
      <c r="W8" s="1" t="str">
        <f t="shared" si="5"/>
        <v>Waterberg</v>
      </c>
      <c r="X8" s="2" cm="1">
        <f t="array" ref="X8">SUM(($A$17:$A$619=W8)*(ISNUMBER($C$17:$C$619)),($B$17:$B$619=W8)*(ISNUMBER($E$17:$E$619)))</f>
        <v>5</v>
      </c>
      <c r="Y8" s="3" cm="1">
        <f t="array" ref="Y8">SUMPRODUCT(($A$17:$A$619=W8)*($C$17:$C$619&gt;$E$17:$E$619)) +
 SUMPRODUCT(($B$17:$B$619=W8)*($E$17:$E$619&gt;$C$17:$C$619))</f>
        <v>1</v>
      </c>
      <c r="Z8" s="3" cm="1">
        <f t="array" ref="Z8">SUM(($A$17:$A$619=W8)*($C$17:$C$619=$E$17:$E$619)*ISNUMBER($E$17:$E$619),($B$17:$B$619=W8)*($E$17:$E$619=$C$17:$C$619)*ISNUMBER($C$17:$C$619))</f>
        <v>0</v>
      </c>
      <c r="AA8" s="3" cm="1">
        <f t="array" ref="AA8">SUM(($A$17:$A$619=W8)*($C$17:$C$619&lt;$E$17:$E$619),($B$17:$B$619=W8)*($E$17:$E$619&lt;$C$17:$C$619))</f>
        <v>4</v>
      </c>
      <c r="AB8" s="4">
        <f t="shared" si="0"/>
        <v>199</v>
      </c>
      <c r="AC8" s="5">
        <f t="shared" si="1"/>
        <v>229</v>
      </c>
      <c r="AD8" s="3">
        <f t="shared" si="6"/>
        <v>-30</v>
      </c>
      <c r="AE8" s="4">
        <f>Y8*Points!$B$2+Z8*Points!$B$3</f>
        <v>2</v>
      </c>
      <c r="AF8">
        <f t="shared" si="7"/>
        <v>199700199</v>
      </c>
      <c r="AG8">
        <f t="shared" si="4"/>
        <v>0.17379912663755459</v>
      </c>
    </row>
    <row r="9" spans="1:33" x14ac:dyDescent="0.3">
      <c r="A9" s="6" t="s">
        <v>35</v>
      </c>
      <c r="H9" s="6" t="str" cm="1">
        <f t="array" ref="H9">INDEX($W$3:$W$8,MATCH(LARGE($AF$3:$AF$8-ROW($AF$3:$AF$8)/COUNT($AF$3:$AF$8),ROW(H9)-ROW(H$6)+1),$AF$3:$AF$8-ROW($AF$3:$AF$8)/COUNT($AF$3:$AF$8),0))</f>
        <v>Ilembe</v>
      </c>
      <c r="I9" s="7">
        <f t="shared" si="8"/>
        <v>5</v>
      </c>
      <c r="J9" s="7">
        <f t="shared" si="9"/>
        <v>2</v>
      </c>
      <c r="K9" s="7">
        <f t="shared" si="10"/>
        <v>3</v>
      </c>
      <c r="L9" s="7">
        <f t="shared" si="11"/>
        <v>0</v>
      </c>
      <c r="M9" s="7">
        <f t="shared" si="12"/>
        <v>4</v>
      </c>
      <c r="N9" s="7">
        <f t="shared" si="13"/>
        <v>197</v>
      </c>
      <c r="O9" s="7">
        <f t="shared" si="14"/>
        <v>222</v>
      </c>
      <c r="P9" s="7">
        <f t="shared" si="15"/>
        <v>-25</v>
      </c>
      <c r="Q9" s="60">
        <f t="shared" si="16"/>
        <v>0.1774774774774775</v>
      </c>
      <c r="W9" s="1">
        <f t="shared" si="5"/>
        <v>0</v>
      </c>
      <c r="X9" s="2" cm="1">
        <f t="array" ref="X9">SUM(($A$17:$A$619=W9)*(ISNUMBER($C$17:$C$619)),($B$17:$B$619=W9)*(ISNUMBER($E$17:$E$619)))</f>
        <v>0</v>
      </c>
      <c r="Y9" s="3" cm="1">
        <f t="array" ref="Y9">SUMPRODUCT(($A$17:$A$619=W9)*($C$17:$C$619&gt;$E$17:$E$619)) +
 SUMPRODUCT(($B$17:$B$619=W9)*($E$17:$E$619&gt;$C$17:$C$619))</f>
        <v>0</v>
      </c>
      <c r="Z9" s="3" cm="1">
        <f t="array" ref="Z9">SUM(($A$17:$A$619=W9)*($C$17:$C$619=$E$17:$E$619)*ISNUMBER($E$17:$E$619),($B$17:$B$619=W9)*($E$17:$E$619=$C$17:$C$619)*ISNUMBER($C$17:$C$619))</f>
        <v>0</v>
      </c>
      <c r="AA9" s="3" cm="1">
        <f t="array" ref="AA9">SUM(($A$17:$A$619=W9)*($C$17:$C$619&lt;$E$17:$E$619),($B$17:$B$619=W9)*($E$17:$E$619&lt;$C$17:$C$619))</f>
        <v>0</v>
      </c>
      <c r="AB9" s="4">
        <f t="shared" si="0"/>
        <v>0</v>
      </c>
      <c r="AC9" s="5">
        <f t="shared" si="1"/>
        <v>0</v>
      </c>
      <c r="AD9" s="3">
        <f t="shared" si="6"/>
        <v>0</v>
      </c>
      <c r="AE9" s="4">
        <f>Y9*Points!$B$2+Z9*Points!$B$3</f>
        <v>0</v>
      </c>
      <c r="AF9">
        <f t="shared" si="7"/>
        <v>0</v>
      </c>
    </row>
    <row r="10" spans="1:33" x14ac:dyDescent="0.3">
      <c r="H10" s="6" t="str" cm="1">
        <f t="array" ref="H10">INDEX($W$3:$W$8,MATCH(LARGE($AF$3:$AF$8-ROW($AF$3:$AF$8)/COUNT($AF$3:$AF$8),ROW(H10)-ROW(H$6)+1),$AF$3:$AF$8-ROW($AF$3:$AF$8)/COUNT($AF$3:$AF$8),0))</f>
        <v>Waterberg</v>
      </c>
      <c r="I10" s="7">
        <f t="shared" si="8"/>
        <v>5</v>
      </c>
      <c r="J10" s="7">
        <f t="shared" si="9"/>
        <v>1</v>
      </c>
      <c r="K10" s="7">
        <f t="shared" si="10"/>
        <v>4</v>
      </c>
      <c r="L10" s="7">
        <f t="shared" si="11"/>
        <v>0</v>
      </c>
      <c r="M10" s="7">
        <f t="shared" si="12"/>
        <v>2</v>
      </c>
      <c r="N10" s="7">
        <f t="shared" si="13"/>
        <v>199</v>
      </c>
      <c r="O10" s="7">
        <f t="shared" si="14"/>
        <v>229</v>
      </c>
      <c r="P10" s="7">
        <f t="shared" si="15"/>
        <v>-30</v>
      </c>
      <c r="Q10" s="60">
        <f t="shared" si="16"/>
        <v>0.17379912663755459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INDEX($W$3:$W$8,MATCH(LARGE($AF$3:$AF$8-ROW($AF$3:$AF$8)/COUNT($AF$3:$AF$8),ROW(H11)-ROW(H$6)+1),$AF$3:$AF$8-ROW($AF$3:$AF$8)/COUNT($AF$3:$AF$8),0))</f>
        <v>Fezile Dabi</v>
      </c>
      <c r="I11" s="7">
        <f t="shared" si="8"/>
        <v>5</v>
      </c>
      <c r="J11" s="7">
        <f t="shared" si="9"/>
        <v>0</v>
      </c>
      <c r="K11" s="7">
        <f t="shared" si="10"/>
        <v>5</v>
      </c>
      <c r="L11" s="7">
        <f t="shared" si="11"/>
        <v>0</v>
      </c>
      <c r="M11" s="7">
        <f t="shared" si="12"/>
        <v>0</v>
      </c>
      <c r="N11" s="7">
        <f t="shared" si="13"/>
        <v>137</v>
      </c>
      <c r="O11" s="7">
        <f t="shared" si="14"/>
        <v>213</v>
      </c>
      <c r="P11" s="7">
        <f t="shared" si="15"/>
        <v>-76</v>
      </c>
      <c r="Q11" s="60">
        <f t="shared" si="16"/>
        <v>0.12863849765258215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2" x14ac:dyDescent="0.3">
      <c r="A17" s="21" t="s">
        <v>30</v>
      </c>
      <c r="B17" s="22" t="s">
        <v>35</v>
      </c>
      <c r="C17" s="23">
        <v>47</v>
      </c>
      <c r="D17" s="23" t="s">
        <v>16</v>
      </c>
      <c r="E17" s="24">
        <v>44</v>
      </c>
      <c r="F17" s="3"/>
      <c r="H17"/>
      <c r="I17"/>
      <c r="J17" s="3"/>
      <c r="K17" s="3"/>
      <c r="L17" s="3"/>
    </row>
    <row r="18" spans="1:12" ht="15" thickBot="1" x14ac:dyDescent="0.35">
      <c r="A18" s="27" t="s">
        <v>25</v>
      </c>
      <c r="B18" s="28" t="s">
        <v>33</v>
      </c>
      <c r="C18" s="29">
        <v>36</v>
      </c>
      <c r="D18" s="29" t="s">
        <v>16</v>
      </c>
      <c r="E18" s="30">
        <v>29</v>
      </c>
      <c r="F18" s="3"/>
      <c r="H18"/>
      <c r="I18"/>
      <c r="J18" s="3"/>
      <c r="K18" s="3"/>
      <c r="L18" s="3"/>
    </row>
    <row r="19" spans="1:12" x14ac:dyDescent="0.3">
      <c r="F19" s="3"/>
      <c r="H19"/>
      <c r="I19"/>
    </row>
    <row r="20" spans="1:12" x14ac:dyDescent="0.3">
      <c r="F20" s="3"/>
      <c r="H20"/>
      <c r="I20"/>
    </row>
    <row r="21" spans="1:12" ht="15" thickBot="1" x14ac:dyDescent="0.35">
      <c r="A21" s="20" t="s">
        <v>104</v>
      </c>
      <c r="F21" s="3"/>
      <c r="H21"/>
      <c r="I21"/>
    </row>
    <row r="22" spans="1:12" x14ac:dyDescent="0.3">
      <c r="A22" s="21" t="s">
        <v>25</v>
      </c>
      <c r="B22" s="22" t="s">
        <v>32</v>
      </c>
      <c r="C22" s="23">
        <v>42</v>
      </c>
      <c r="D22" s="23" t="str">
        <f>D17</f>
        <v>:</v>
      </c>
      <c r="E22" s="24">
        <v>37</v>
      </c>
      <c r="H22"/>
      <c r="I22"/>
      <c r="J22" s="3"/>
      <c r="K22" s="3"/>
      <c r="L22" s="3"/>
    </row>
    <row r="23" spans="1:12" x14ac:dyDescent="0.3">
      <c r="A23" s="25" t="s">
        <v>105</v>
      </c>
      <c r="B23" s="6" t="s">
        <v>30</v>
      </c>
      <c r="C23" s="7">
        <v>55</v>
      </c>
      <c r="D23" s="7" t="str">
        <f>D18</f>
        <v>:</v>
      </c>
      <c r="E23" s="26">
        <v>29</v>
      </c>
      <c r="H23"/>
      <c r="I23"/>
      <c r="J23" s="3"/>
      <c r="K23" s="3"/>
      <c r="L23" s="3"/>
    </row>
    <row r="24" spans="1:12" x14ac:dyDescent="0.3">
      <c r="A24" s="25" t="s">
        <v>32</v>
      </c>
      <c r="B24" s="6" t="s">
        <v>33</v>
      </c>
      <c r="C24" s="7">
        <v>34</v>
      </c>
      <c r="D24" s="7" t="s">
        <v>16</v>
      </c>
      <c r="E24" s="26">
        <v>30</v>
      </c>
    </row>
    <row r="25" spans="1:12" ht="15" thickBot="1" x14ac:dyDescent="0.35">
      <c r="A25" s="27" t="s">
        <v>25</v>
      </c>
      <c r="B25" s="28" t="s">
        <v>35</v>
      </c>
      <c r="C25" s="29">
        <v>55</v>
      </c>
      <c r="D25" s="29" t="s">
        <v>16</v>
      </c>
      <c r="E25" s="30">
        <v>36</v>
      </c>
    </row>
    <row r="28" spans="1:12" ht="15" thickBot="1" x14ac:dyDescent="0.35">
      <c r="A28" s="20" t="s">
        <v>141</v>
      </c>
    </row>
    <row r="29" spans="1:12" x14ac:dyDescent="0.3">
      <c r="A29" s="21" t="s">
        <v>35</v>
      </c>
      <c r="B29" s="22" t="s">
        <v>105</v>
      </c>
      <c r="C29" s="23">
        <v>29</v>
      </c>
      <c r="D29" s="23" t="s">
        <v>16</v>
      </c>
      <c r="E29" s="24">
        <v>50</v>
      </c>
      <c r="H29"/>
      <c r="I29"/>
      <c r="J29" s="3"/>
      <c r="K29" s="3"/>
      <c r="L29" s="3"/>
    </row>
    <row r="30" spans="1:12" x14ac:dyDescent="0.3">
      <c r="A30" s="25" t="s">
        <v>30</v>
      </c>
      <c r="B30" s="6" t="s">
        <v>25</v>
      </c>
      <c r="C30" s="7">
        <v>47</v>
      </c>
      <c r="D30" s="7" t="s">
        <v>16</v>
      </c>
      <c r="E30" s="26">
        <v>47</v>
      </c>
    </row>
    <row r="31" spans="1:12" x14ac:dyDescent="0.3">
      <c r="A31" s="25" t="s">
        <v>105</v>
      </c>
      <c r="B31" s="6" t="s">
        <v>32</v>
      </c>
      <c r="C31" s="7">
        <v>57</v>
      </c>
      <c r="D31" s="7"/>
      <c r="E31" s="26">
        <v>30</v>
      </c>
    </row>
    <row r="32" spans="1:12" ht="15" thickBot="1" x14ac:dyDescent="0.35">
      <c r="A32" s="27" t="s">
        <v>33</v>
      </c>
      <c r="B32" s="27" t="s">
        <v>35</v>
      </c>
      <c r="C32" s="29">
        <v>29</v>
      </c>
      <c r="D32" s="29" t="s">
        <v>16</v>
      </c>
      <c r="E32" s="30">
        <v>49</v>
      </c>
    </row>
    <row r="35" spans="1:12" ht="15" thickBot="1" x14ac:dyDescent="0.35">
      <c r="A35" s="20" t="s">
        <v>145</v>
      </c>
    </row>
    <row r="36" spans="1:12" x14ac:dyDescent="0.3">
      <c r="A36" s="21" t="s">
        <v>105</v>
      </c>
      <c r="B36" s="22" t="s">
        <v>33</v>
      </c>
      <c r="C36" s="23">
        <v>50</v>
      </c>
      <c r="D36" s="23" t="s">
        <v>16</v>
      </c>
      <c r="E36" s="24">
        <v>16</v>
      </c>
    </row>
    <row r="37" spans="1:12" x14ac:dyDescent="0.3">
      <c r="A37" s="25" t="s">
        <v>30</v>
      </c>
      <c r="B37" s="6" t="s">
        <v>32</v>
      </c>
      <c r="C37" s="7">
        <v>52</v>
      </c>
      <c r="D37" s="7" t="s">
        <v>16</v>
      </c>
      <c r="E37" s="26">
        <v>48</v>
      </c>
    </row>
    <row r="38" spans="1:12" x14ac:dyDescent="0.3">
      <c r="A38" s="25" t="s">
        <v>33</v>
      </c>
      <c r="B38" s="6" t="s">
        <v>30</v>
      </c>
      <c r="C38" s="7">
        <v>33</v>
      </c>
      <c r="D38" s="7" t="s">
        <v>16</v>
      </c>
      <c r="E38" s="26">
        <v>44</v>
      </c>
    </row>
    <row r="39" spans="1:12" x14ac:dyDescent="0.3">
      <c r="A39" s="25" t="s">
        <v>105</v>
      </c>
      <c r="B39" s="6" t="s">
        <v>25</v>
      </c>
      <c r="C39" s="7">
        <v>35</v>
      </c>
      <c r="D39" s="7" t="s">
        <v>16</v>
      </c>
      <c r="E39" s="26">
        <v>17</v>
      </c>
    </row>
    <row r="40" spans="1:12" ht="15" thickBot="1" x14ac:dyDescent="0.35">
      <c r="A40" s="27" t="s">
        <v>35</v>
      </c>
      <c r="B40" s="28" t="s">
        <v>32</v>
      </c>
      <c r="C40" s="29">
        <v>41</v>
      </c>
      <c r="D40" s="29" t="s">
        <v>16</v>
      </c>
      <c r="E40" s="30">
        <v>48</v>
      </c>
    </row>
    <row r="41" spans="1:12" x14ac:dyDescent="0.3">
      <c r="H41" s="41"/>
      <c r="I41"/>
    </row>
    <row r="42" spans="1:12" x14ac:dyDescent="0.3">
      <c r="G42" s="42"/>
      <c r="H42"/>
      <c r="I42"/>
      <c r="J42" s="3"/>
      <c r="K42" s="3"/>
      <c r="L42" s="3"/>
    </row>
    <row r="43" spans="1:12" x14ac:dyDescent="0.3">
      <c r="H43"/>
      <c r="I43"/>
      <c r="J43" s="3"/>
      <c r="K43" s="3"/>
      <c r="L43" s="3"/>
    </row>
    <row r="44" spans="1:12" x14ac:dyDescent="0.3">
      <c r="H44"/>
      <c r="I44"/>
      <c r="J44" s="3"/>
      <c r="K44" s="3"/>
      <c r="L44" s="3"/>
    </row>
    <row r="45" spans="1:12" x14ac:dyDescent="0.3">
      <c r="H45"/>
      <c r="I45"/>
      <c r="J45" s="3"/>
      <c r="K45" s="3"/>
      <c r="L45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4694-484C-476D-9FCF-BB32BA346F15}">
  <sheetPr codeName="Sheet25">
    <tabColor rgb="FF28C6D2"/>
  </sheetPr>
  <dimension ref="A1:AG50"/>
  <sheetViews>
    <sheetView workbookViewId="0">
      <selection activeCell="B23" sqref="B23"/>
    </sheetView>
  </sheetViews>
  <sheetFormatPr defaultRowHeight="14.4" x14ac:dyDescent="0.3"/>
  <cols>
    <col min="1" max="1" width="25.6640625" bestFit="1" customWidth="1"/>
    <col min="2" max="2" width="13.77734375" bestFit="1" customWidth="1"/>
    <col min="3" max="3" width="3" bestFit="1" customWidth="1"/>
    <col min="4" max="4" width="1.5546875" bestFit="1" customWidth="1"/>
    <col min="5" max="5" width="3" bestFit="1" customWidth="1"/>
    <col min="6" max="6" width="11.77734375" customWidth="1"/>
    <col min="7" max="7" width="10" style="3" bestFit="1" customWidth="1"/>
    <col min="8" max="8" width="13.777343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4" bestFit="1" customWidth="1"/>
    <col min="17" max="17" width="12" bestFit="1" customWidth="1"/>
    <col min="21" max="21" width="11.44140625" customWidth="1"/>
    <col min="23" max="23" width="14.554687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64" t="s">
        <v>128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Cape Town B</v>
      </c>
      <c r="X3" s="2" cm="1">
        <f t="array" ref="X3">SUM(($A$17:$A$624=W3)*(ISNUMBER($C$17:$C$624)),($B$17:$B$624=W3)*(ISNUMBER($E$17:$E$624)))</f>
        <v>6</v>
      </c>
      <c r="Y3" s="3" cm="1">
        <f t="array" ref="Y3">SUMPRODUCT(($A$17:$A$624=W3)*($C$17:$C$624&gt;$E$17:$E$624)) +
 SUMPRODUCT(($B$17:$B$624=W3)*($E$17:$E$624&gt;$C$17:$C$624))</f>
        <v>5</v>
      </c>
      <c r="Z3" s="3" cm="1">
        <f t="array" ref="Z3">SUM(($A$17:$A$624=W3)*($C$17:$C$624=$E$17:$E$624)*ISNUMBER($E$17:$E$624),($B$17:$B$624=W3)*($E$17:$E$624=$C$17:$C$624)*ISNUMBER($C$17:$C$624))</f>
        <v>0</v>
      </c>
      <c r="AA3" s="3" cm="1">
        <f t="array" ref="AA3">SUM(($A$17:$A$624=W3)*($C$17:$C$624&lt;$E$17:$E$624),($B$17:$B$624=W3)*($E$17:$E$624&lt;$C$17:$C$624))</f>
        <v>1</v>
      </c>
      <c r="AB3" s="4">
        <f t="shared" ref="AB3:AB9" si="0">SUMIF($A$17:$A$624,W3,$C$17:$C$624)+SUMIF($B$17:$B$624,W3,$E$17:$E$624)</f>
        <v>366</v>
      </c>
      <c r="AC3" s="5">
        <f t="shared" ref="AC3:AC9" si="1">SUMIF($A$17:$A$624,W3,$E$17:$E$624)+SUMIF($B$17:$B$624,W3,$C$17:$C$624)</f>
        <v>194</v>
      </c>
      <c r="AD3" s="3">
        <f>AB3-AC3</f>
        <v>172</v>
      </c>
      <c r="AE3" s="4">
        <f>Y3*Points!$B$2+Z3*Points!$B$3</f>
        <v>10</v>
      </c>
      <c r="AF3">
        <f>AB3+AD3*10000+AE3*100000000</f>
        <v>1001720366</v>
      </c>
      <c r="AG3">
        <f>AB3/AC3/X3</f>
        <v>0.31443298969072164</v>
      </c>
    </row>
    <row r="4" spans="1:33" ht="28.8" x14ac:dyDescent="0.55000000000000004">
      <c r="A4" s="6" t="s">
        <v>29</v>
      </c>
      <c r="H4" s="98" t="s">
        <v>128</v>
      </c>
      <c r="I4" s="98"/>
      <c r="J4" s="98"/>
      <c r="K4" s="98"/>
      <c r="L4" s="98"/>
      <c r="M4" s="98"/>
      <c r="N4" s="98"/>
      <c r="O4" s="98"/>
      <c r="P4" s="98"/>
      <c r="Q4" s="98"/>
      <c r="W4" s="1" t="str">
        <f>A5</f>
        <v>Mopani</v>
      </c>
      <c r="X4" s="2" cm="1">
        <f t="array" ref="X4">SUM(($A$17:$A$624=W4)*(ISNUMBER($C$17:$C$624)),($B$17:$B$624=W4)*(ISNUMBER($E$17:$E$624)))</f>
        <v>6</v>
      </c>
      <c r="Y4" s="3" cm="1">
        <f t="array" ref="Y4">SUMPRODUCT(($A$17:$A$624=W4)*($C$17:$C$624&gt;$E$17:$E$624)) +
 SUMPRODUCT(($B$17:$B$624=W4)*($E$17:$E$624&gt;$C$17:$C$624))</f>
        <v>5</v>
      </c>
      <c r="Z4" s="3" cm="1">
        <f t="array" ref="Z4">SUM(($A$17:$A$624=W4)*($C$17:$C$624=$E$17:$E$624)*ISNUMBER($E$17:$E$624),($B$17:$B$624=W4)*($E$17:$E$624=$C$17:$C$624)*ISNUMBER($C$17:$C$624))</f>
        <v>0</v>
      </c>
      <c r="AA4" s="3" cm="1">
        <f t="array" ref="AA4">SUM(($A$17:$A$624=W4)*($C$17:$C$624&lt;$E$17:$E$624),($B$17:$B$624=W4)*($E$17:$E$624&lt;$C$17:$C$624))</f>
        <v>1</v>
      </c>
      <c r="AB4" s="4">
        <f t="shared" si="0"/>
        <v>281</v>
      </c>
      <c r="AC4" s="5">
        <f t="shared" si="1"/>
        <v>235</v>
      </c>
      <c r="AD4" s="3">
        <f t="shared" ref="AD4" si="2">AB4-AC4</f>
        <v>46</v>
      </c>
      <c r="AE4" s="4">
        <f>Y4*Points!$B$2+Z4*Points!$B$3</f>
        <v>10</v>
      </c>
      <c r="AF4">
        <f t="shared" ref="AF4" si="3">AB4+AD4*10000+AE4*100000000</f>
        <v>1000460281</v>
      </c>
      <c r="AG4">
        <f t="shared" ref="AG4:AG9" si="4">AB4/AC4/X4</f>
        <v>0.19929078014184398</v>
      </c>
    </row>
    <row r="5" spans="1:33" x14ac:dyDescent="0.3">
      <c r="A5" s="6" t="s">
        <v>44</v>
      </c>
      <c r="H5" s="83" t="s">
        <v>133</v>
      </c>
      <c r="I5" s="72" t="s">
        <v>134</v>
      </c>
      <c r="J5" s="72" t="s">
        <v>135</v>
      </c>
      <c r="K5" s="72" t="s">
        <v>137</v>
      </c>
      <c r="L5" s="72" t="s">
        <v>136</v>
      </c>
      <c r="M5" s="72" t="s">
        <v>87</v>
      </c>
      <c r="N5" s="72" t="s">
        <v>138</v>
      </c>
      <c r="O5" s="72" t="s">
        <v>139</v>
      </c>
      <c r="P5" s="72" t="s">
        <v>6</v>
      </c>
      <c r="Q5" s="72" t="s">
        <v>102</v>
      </c>
      <c r="W5" s="1" t="str">
        <f>A6</f>
        <v>Ekhurleni B</v>
      </c>
      <c r="X5" s="2" cm="1">
        <f t="array" ref="X5">SUM(($A$17:$A$624=W5)*(ISNUMBER($C$17:$C$624)),($B$17:$B$624=W5)*(ISNUMBER($E$17:$E$624)))</f>
        <v>6</v>
      </c>
      <c r="Y5" s="3" cm="1">
        <f t="array" ref="Y5">SUMPRODUCT(($A$17:$A$624=W5)*($C$17:$C$624&gt;$E$17:$E$624)) +
 SUMPRODUCT(($B$17:$B$624=W5)*($E$17:$E$624&gt;$C$17:$C$624))</f>
        <v>4</v>
      </c>
      <c r="Z5" s="3" cm="1">
        <f t="array" ref="Z5">SUM(($A$17:$A$624=W5)*($C$17:$C$624=$E$17:$E$624)*ISNUMBER($E$17:$E$624),($B$17:$B$624=W5)*($E$17:$E$624=$C$17:$C$624)*ISNUMBER($C$17:$C$624))</f>
        <v>0</v>
      </c>
      <c r="AA5" s="3" cm="1">
        <f t="array" ref="AA5">SUM(($A$17:$A$624=W5)*($C$17:$C$624&lt;$E$17:$E$624),($B$17:$B$624=W5)*($E$17:$E$624&lt;$C$17:$C$624))</f>
        <v>2</v>
      </c>
      <c r="AB5" s="4">
        <f t="shared" si="0"/>
        <v>305</v>
      </c>
      <c r="AC5" s="5">
        <f t="shared" si="1"/>
        <v>269</v>
      </c>
      <c r="AD5" s="3">
        <f>AB5-AC5</f>
        <v>36</v>
      </c>
      <c r="AE5" s="4">
        <f>Y5*Points!$B$2+Z5*Points!$B$3</f>
        <v>8</v>
      </c>
      <c r="AF5">
        <f>AB5+AD5*10000+AE5*100000000</f>
        <v>800360305</v>
      </c>
      <c r="AG5">
        <f t="shared" si="4"/>
        <v>0.18897149938042132</v>
      </c>
    </row>
    <row r="6" spans="1:33" x14ac:dyDescent="0.3">
      <c r="A6" s="6" t="s">
        <v>31</v>
      </c>
      <c r="H6" s="6" t="str" cm="1">
        <f t="array" ref="H6">INDEX($W$3:$W$9,MATCH(LARGE($AF$3:$AF$9-ROW($AF$3:$AF$9)/COUNT($AF$3:$AF$9),ROW(H6)-ROW(H$6)+1),$AF$3:$AF$9-ROW($AF$3:$AF$9)/COUNT($AF$3:$AF$9),0))</f>
        <v>Cape Town B</v>
      </c>
      <c r="I6" s="7">
        <f>VLOOKUP($H6,$W$3:$AE$9,2,0)</f>
        <v>6</v>
      </c>
      <c r="J6" s="7">
        <f>VLOOKUP($H6,$W$3:$AE$9,3,0)</f>
        <v>5</v>
      </c>
      <c r="K6" s="7">
        <f>VLOOKUP($H6,$W$3:$AE$9,5,0)</f>
        <v>1</v>
      </c>
      <c r="L6" s="7">
        <f>VLOOKUP($H6,$W$3:$AE$9,4,0)</f>
        <v>0</v>
      </c>
      <c r="M6" s="7">
        <f>VLOOKUP($H6,$W$3:$AE$9,9,0)</f>
        <v>10</v>
      </c>
      <c r="N6" s="7">
        <f>VLOOKUP($H6,$W$3:$AE$9,6,0)</f>
        <v>366</v>
      </c>
      <c r="O6" s="7">
        <f>VLOOKUP($H6,$W$3:$AE$9,7,0)</f>
        <v>194</v>
      </c>
      <c r="P6" s="7">
        <f>VLOOKUP($H6,$W$3:$AE$9,8,0)</f>
        <v>172</v>
      </c>
      <c r="Q6" s="60">
        <f>VLOOKUP($H6,$W$3:$AG$9,11,0)</f>
        <v>0.31443298969072164</v>
      </c>
      <c r="W6" s="1" t="str">
        <f t="shared" ref="W6:W9" si="5">A7</f>
        <v>Thabo M</v>
      </c>
      <c r="X6" s="2" cm="1">
        <f t="array" ref="X6">SUM(($A$17:$A$624=W6)*(ISNUMBER($C$17:$C$624)),($B$17:$B$624=W6)*(ISNUMBER($E$17:$E$624)))</f>
        <v>4</v>
      </c>
      <c r="Y6" s="3" cm="1">
        <f t="array" ref="Y6">SUMPRODUCT(($A$17:$A$624=W6)*($C$17:$C$624&gt;$E$17:$E$624)) +
 SUMPRODUCT(($B$17:$B$624=W6)*($E$17:$E$624&gt;$C$17:$C$624))</f>
        <v>1</v>
      </c>
      <c r="Z6" s="3" cm="1">
        <f t="array" ref="Z6">SUM(($A$17:$A$624=W6)*($C$17:$C$624=$E$17:$E$624)*ISNUMBER($E$17:$E$624),($B$17:$B$624=W6)*($E$17:$E$624=$C$17:$C$624)*ISNUMBER($C$17:$C$624))</f>
        <v>0</v>
      </c>
      <c r="AA6" s="3" cm="1">
        <f t="array" ref="AA6">SUM(($A$17:$A$624=W6)*($C$17:$C$624&lt;$E$17:$E$624),($B$17:$B$624=W6)*($E$17:$E$624&lt;$C$17:$C$624))+1+1</f>
        <v>5</v>
      </c>
      <c r="AB6" s="4">
        <f t="shared" si="0"/>
        <v>135</v>
      </c>
      <c r="AC6" s="5">
        <f t="shared" si="1"/>
        <v>229</v>
      </c>
      <c r="AD6" s="3">
        <f t="shared" ref="AD6:AD9" si="6">AB6-AC6</f>
        <v>-94</v>
      </c>
      <c r="AE6" s="4">
        <f>Y6*Points!$B$2+Z6*Points!$B$3</f>
        <v>2</v>
      </c>
      <c r="AF6">
        <f t="shared" ref="AF6:AF9" si="7">AB6+AD6*10000+AE6*100000000</f>
        <v>199060135</v>
      </c>
      <c r="AG6">
        <f t="shared" si="4"/>
        <v>0.14737991266375547</v>
      </c>
    </row>
    <row r="7" spans="1:33" x14ac:dyDescent="0.3">
      <c r="A7" s="6" t="s">
        <v>108</v>
      </c>
      <c r="H7" s="6" t="str" cm="1">
        <f t="array" ref="H7">INDEX($W$3:$W$9,MATCH(LARGE($AF$3:$AF$9-ROW($AF$3:$AF$9)/COUNT($AF$3:$AF$9),ROW(H7)-ROW(H$6)+1),$AF$3:$AF$9-ROW($AF$3:$AF$9)/COUNT($AF$3:$AF$9),0))</f>
        <v>Mopani</v>
      </c>
      <c r="I7" s="7">
        <f t="shared" ref="I7:I12" si="8">VLOOKUP($H7,$W$3:$AE$9,2,0)</f>
        <v>6</v>
      </c>
      <c r="J7" s="7">
        <f t="shared" ref="J7:J12" si="9">VLOOKUP($H7,$W$3:$AE$9,3,0)</f>
        <v>5</v>
      </c>
      <c r="K7" s="7">
        <f t="shared" ref="K7:K12" si="10">VLOOKUP($H7,$W$3:$AE$9,5,0)</f>
        <v>1</v>
      </c>
      <c r="L7" s="7">
        <f t="shared" ref="L7:L12" si="11">VLOOKUP($H7,$W$3:$AE$9,4,0)</f>
        <v>0</v>
      </c>
      <c r="M7" s="7">
        <f t="shared" ref="M7:M12" si="12">VLOOKUP($H7,$W$3:$AE$9,9,0)</f>
        <v>10</v>
      </c>
      <c r="N7" s="7">
        <f t="shared" ref="N7:N12" si="13">VLOOKUP($H7,$W$3:$AE$9,6,0)</f>
        <v>281</v>
      </c>
      <c r="O7" s="7">
        <f t="shared" ref="O7:O12" si="14">VLOOKUP($H7,$W$3:$AE$9,7,0)</f>
        <v>235</v>
      </c>
      <c r="P7" s="7">
        <f t="shared" ref="P7:P12" si="15">VLOOKUP($H7,$W$3:$AE$9,8,0)</f>
        <v>46</v>
      </c>
      <c r="Q7" s="60">
        <f t="shared" ref="Q7:Q12" si="16">VLOOKUP($H7,$W$3:$AG$9,11,0)</f>
        <v>0.19929078014184398</v>
      </c>
      <c r="W7" s="1" t="str">
        <f t="shared" si="5"/>
        <v>Ehlanzeni B</v>
      </c>
      <c r="X7" s="2" cm="1">
        <f t="array" ref="X7">SUM(($A$17:$A$624=W7)*(ISNUMBER($C$17:$C$624)),($B$17:$B$624=W7)*(ISNUMBER($E$17:$E$624)))</f>
        <v>6</v>
      </c>
      <c r="Y7" s="3" cm="1">
        <f t="array" ref="Y7">SUMPRODUCT(($A$17:$A$624=W7)*($C$17:$C$624&gt;$E$17:$E$624)) +
 SUMPRODUCT(($B$17:$B$624=W7)*($E$17:$E$624&gt;$C$17:$C$624))</f>
        <v>0</v>
      </c>
      <c r="Z7" s="3" cm="1">
        <f t="array" ref="Z7">SUM(($A$17:$A$624=W7)*($C$17:$C$624=$E$17:$E$624)*ISNUMBER($E$17:$E$624),($B$17:$B$624=W7)*($E$17:$E$624=$C$17:$C$624)*ISNUMBER($C$17:$C$624))</f>
        <v>0</v>
      </c>
      <c r="AA7" s="3" cm="1">
        <f t="array" ref="AA7">SUM(($A$17:$A$624=W7)*($C$17:$C$624&lt;$E$17:$E$624),($B$17:$B$624=W7)*($E$17:$E$624&lt;$C$17:$C$624))</f>
        <v>6</v>
      </c>
      <c r="AB7" s="4">
        <f t="shared" si="0"/>
        <v>192</v>
      </c>
      <c r="AC7" s="5">
        <f t="shared" si="1"/>
        <v>280</v>
      </c>
      <c r="AD7" s="3">
        <f t="shared" si="6"/>
        <v>-88</v>
      </c>
      <c r="AE7" s="4">
        <f>Y7*Points!$B$2+Z7*Points!$B$3</f>
        <v>0</v>
      </c>
      <c r="AF7">
        <f t="shared" si="7"/>
        <v>-879808</v>
      </c>
      <c r="AG7">
        <f t="shared" si="4"/>
        <v>0.11428571428571428</v>
      </c>
    </row>
    <row r="8" spans="1:33" x14ac:dyDescent="0.3">
      <c r="A8" s="6" t="s">
        <v>60</v>
      </c>
      <c r="H8" s="6" t="str" cm="1">
        <f t="array" ref="H8">INDEX($W$3:$W$9,MATCH(LARGE($AF$3:$AF$9-ROW($AF$3:$AF$9)/COUNT($AF$3:$AF$9),ROW(H8)-ROW(H$6)+1),$AF$3:$AF$9-ROW($AF$3:$AF$9)/COUNT($AF$3:$AF$9),0))</f>
        <v>Ekhurleni B</v>
      </c>
      <c r="I8" s="7">
        <f t="shared" si="8"/>
        <v>6</v>
      </c>
      <c r="J8" s="7">
        <f t="shared" si="9"/>
        <v>4</v>
      </c>
      <c r="K8" s="7">
        <f t="shared" si="10"/>
        <v>2</v>
      </c>
      <c r="L8" s="7">
        <f t="shared" si="11"/>
        <v>0</v>
      </c>
      <c r="M8" s="7">
        <f t="shared" si="12"/>
        <v>8</v>
      </c>
      <c r="N8" s="7">
        <f t="shared" si="13"/>
        <v>305</v>
      </c>
      <c r="O8" s="7">
        <f t="shared" si="14"/>
        <v>269</v>
      </c>
      <c r="P8" s="7">
        <f t="shared" si="15"/>
        <v>36</v>
      </c>
      <c r="Q8" s="60">
        <f t="shared" si="16"/>
        <v>0.18897149938042132</v>
      </c>
      <c r="W8" s="1" t="str">
        <f t="shared" si="5"/>
        <v>Johannesburg C</v>
      </c>
      <c r="X8" s="2" cm="1">
        <f t="array" ref="X8">SUM(($A$17:$A$624=W8)*(ISNUMBER($C$17:$C$624)),($B$17:$B$624=W8)*(ISNUMBER($E$17:$E$624)))</f>
        <v>5</v>
      </c>
      <c r="Y8" s="3" cm="1">
        <f t="array" ref="Y8">SUMPRODUCT(($A$17:$A$624=W8)*($C$17:$C$624&gt;$E$17:$E$624)) +
 SUMPRODUCT(($B$17:$B$624=W8)*($E$17:$E$624&gt;$C$17:$C$624))+1</f>
        <v>4</v>
      </c>
      <c r="Z8" s="3" cm="1">
        <f t="array" ref="Z8">SUM(($A$17:$A$624=W8)*($C$17:$C$624=$E$17:$E$624)*ISNUMBER($E$17:$E$624),($B$17:$B$624=W8)*($E$17:$E$624=$C$17:$C$624)*ISNUMBER($C$17:$C$624))</f>
        <v>0</v>
      </c>
      <c r="AA8" s="3" cm="1">
        <f t="array" ref="AA8">SUM(($A$17:$A$624=W8)*($C$17:$C$624&lt;$E$17:$E$624),($B$17:$B$624=W8)*($E$17:$E$624&lt;$C$17:$C$624))</f>
        <v>2</v>
      </c>
      <c r="AB8" s="4">
        <f t="shared" si="0"/>
        <v>183</v>
      </c>
      <c r="AC8" s="5">
        <f t="shared" si="1"/>
        <v>198</v>
      </c>
      <c r="AD8" s="3">
        <f t="shared" si="6"/>
        <v>-15</v>
      </c>
      <c r="AE8" s="4">
        <f>Y8*Points!$B$2+Z8*Points!$B$3</f>
        <v>8</v>
      </c>
      <c r="AF8">
        <f t="shared" si="7"/>
        <v>799850183</v>
      </c>
      <c r="AG8">
        <f t="shared" si="4"/>
        <v>0.18484848484848485</v>
      </c>
    </row>
    <row r="9" spans="1:33" x14ac:dyDescent="0.3">
      <c r="A9" s="6" t="s">
        <v>12</v>
      </c>
      <c r="H9" s="6" t="str" cm="1">
        <f t="array" ref="H9">INDEX($W$3:$W$9,MATCH(LARGE($AF$3:$AF$9-ROW($AF$3:$AF$9)/COUNT($AF$3:$AF$9),ROW(H9)-ROW(H$6)+1),$AF$3:$AF$9-ROW($AF$3:$AF$9)/COUNT($AF$3:$AF$9),0))</f>
        <v>Johannesburg C</v>
      </c>
      <c r="I9" s="7">
        <f t="shared" si="8"/>
        <v>5</v>
      </c>
      <c r="J9" s="7">
        <f t="shared" si="9"/>
        <v>4</v>
      </c>
      <c r="K9" s="7">
        <f t="shared" si="10"/>
        <v>2</v>
      </c>
      <c r="L9" s="7">
        <f t="shared" si="11"/>
        <v>0</v>
      </c>
      <c r="M9" s="7">
        <f t="shared" si="12"/>
        <v>8</v>
      </c>
      <c r="N9" s="7">
        <f t="shared" si="13"/>
        <v>183</v>
      </c>
      <c r="O9" s="7">
        <f t="shared" si="14"/>
        <v>198</v>
      </c>
      <c r="P9" s="7">
        <f t="shared" si="15"/>
        <v>-15</v>
      </c>
      <c r="Q9" s="60">
        <f t="shared" si="16"/>
        <v>0.18484848484848485</v>
      </c>
      <c r="W9" s="1" t="str">
        <f t="shared" si="5"/>
        <v>Chris Hani</v>
      </c>
      <c r="X9" s="2" cm="1">
        <f t="array" ref="X9">SUM(($A$17:$A$624=W9)*(ISNUMBER($C$17:$C$624)),($B$17:$B$624=W9)*(ISNUMBER($E$17:$E$624)))</f>
        <v>5</v>
      </c>
      <c r="Y9" s="3" cm="1">
        <f t="array" ref="Y9">SUMPRODUCT(($A$17:$A$624=W9)*($C$17:$C$624&gt;$E$17:$E$624)) +
 SUMPRODUCT(($B$17:$B$624=W9)*($E$17:$E$624&gt;$C$17:$C$624))+1</f>
        <v>2</v>
      </c>
      <c r="Z9" s="3" cm="1">
        <f t="array" ref="Z9">SUM(($A$17:$A$624=W9)*($C$17:$C$624=$E$17:$E$624)*ISNUMBER($E$17:$E$624),($B$17:$B$624=W9)*($E$17:$E$624=$C$17:$C$624)*ISNUMBER($C$17:$C$624))</f>
        <v>0</v>
      </c>
      <c r="AA9" s="3" cm="1">
        <f t="array" ref="AA9">SUM(($A$17:$A$624=W9)*($C$17:$C$624&lt;$E$17:$E$624),($B$17:$B$624=W9)*($E$17:$E$624&lt;$C$17:$C$624))</f>
        <v>4</v>
      </c>
      <c r="AB9" s="4">
        <f t="shared" si="0"/>
        <v>198</v>
      </c>
      <c r="AC9" s="5">
        <f t="shared" si="1"/>
        <v>255</v>
      </c>
      <c r="AD9" s="3">
        <f t="shared" si="6"/>
        <v>-57</v>
      </c>
      <c r="AE9" s="4">
        <f>Y9*Points!$B$2+Z9*Points!$B$3</f>
        <v>4</v>
      </c>
      <c r="AF9">
        <f t="shared" si="7"/>
        <v>399430198</v>
      </c>
      <c r="AG9">
        <f t="shared" si="4"/>
        <v>0.15529411764705883</v>
      </c>
    </row>
    <row r="10" spans="1:33" x14ac:dyDescent="0.3">
      <c r="A10" s="6" t="s">
        <v>28</v>
      </c>
      <c r="H10" s="6" t="str" cm="1">
        <f t="array" ref="H10">INDEX($W$3:$W$9,MATCH(LARGE($AF$3:$AF$9-ROW($AF$3:$AF$9)/COUNT($AF$3:$AF$9),ROW(H10)-ROW(H$6)+1),$AF$3:$AF$9-ROW($AF$3:$AF$9)/COUNT($AF$3:$AF$9),0))</f>
        <v>Chris Hani</v>
      </c>
      <c r="I10" s="7">
        <f t="shared" si="8"/>
        <v>5</v>
      </c>
      <c r="J10" s="7">
        <f t="shared" si="9"/>
        <v>2</v>
      </c>
      <c r="K10" s="7">
        <f t="shared" si="10"/>
        <v>4</v>
      </c>
      <c r="L10" s="7">
        <f t="shared" si="11"/>
        <v>0</v>
      </c>
      <c r="M10" s="7">
        <f t="shared" si="12"/>
        <v>4</v>
      </c>
      <c r="N10" s="7">
        <f t="shared" si="13"/>
        <v>198</v>
      </c>
      <c r="O10" s="7">
        <f t="shared" si="14"/>
        <v>255</v>
      </c>
      <c r="P10" s="7">
        <f t="shared" si="15"/>
        <v>-57</v>
      </c>
      <c r="Q10" s="60">
        <f t="shared" si="16"/>
        <v>0.15529411764705883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INDEX($W$3:$W$9,MATCH(LARGE($AF$3:$AF$9-ROW($AF$3:$AF$9)/COUNT($AF$3:$AF$9),ROW(H11)-ROW(H$6)+1),$AF$3:$AF$9-ROW($AF$3:$AF$9)/COUNT($AF$3:$AF$9),0))</f>
        <v>Thabo M</v>
      </c>
      <c r="I11" s="7">
        <f t="shared" si="8"/>
        <v>4</v>
      </c>
      <c r="J11" s="7">
        <f t="shared" si="9"/>
        <v>1</v>
      </c>
      <c r="K11" s="7">
        <f t="shared" si="10"/>
        <v>5</v>
      </c>
      <c r="L11" s="7">
        <f t="shared" si="11"/>
        <v>0</v>
      </c>
      <c r="M11" s="7">
        <f t="shared" si="12"/>
        <v>2</v>
      </c>
      <c r="N11" s="7">
        <f t="shared" si="13"/>
        <v>135</v>
      </c>
      <c r="O11" s="7">
        <f t="shared" si="14"/>
        <v>229</v>
      </c>
      <c r="P11" s="7">
        <f t="shared" si="15"/>
        <v>-94</v>
      </c>
      <c r="Q11" s="60">
        <f t="shared" si="16"/>
        <v>0.14737991266375547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 s="6" t="str" cm="1">
        <f t="array" ref="H12">INDEX($W$3:$W$9,MATCH(LARGE($AF$3:$AF$9-ROW($AF$3:$AF$9)/COUNT($AF$3:$AF$9),ROW(H12)-ROW(H$6)+1),$AF$3:$AF$9-ROW($AF$3:$AF$9)/COUNT($AF$3:$AF$9),0))</f>
        <v>Ehlanzeni B</v>
      </c>
      <c r="I12" s="7">
        <f t="shared" si="8"/>
        <v>6</v>
      </c>
      <c r="J12" s="7">
        <f t="shared" si="9"/>
        <v>0</v>
      </c>
      <c r="K12" s="7">
        <f t="shared" si="10"/>
        <v>6</v>
      </c>
      <c r="L12" s="7">
        <f t="shared" si="11"/>
        <v>0</v>
      </c>
      <c r="M12" s="7">
        <f t="shared" si="12"/>
        <v>0</v>
      </c>
      <c r="N12" s="7">
        <f t="shared" si="13"/>
        <v>192</v>
      </c>
      <c r="O12" s="7">
        <f t="shared" si="14"/>
        <v>280</v>
      </c>
      <c r="P12" s="7">
        <f t="shared" si="15"/>
        <v>-88</v>
      </c>
      <c r="Q12" s="60">
        <f t="shared" si="16"/>
        <v>0.11428571428571428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2" x14ac:dyDescent="0.3">
      <c r="A17" s="21" t="s">
        <v>44</v>
      </c>
      <c r="B17" s="22" t="s">
        <v>28</v>
      </c>
      <c r="C17" s="23">
        <v>52</v>
      </c>
      <c r="D17" s="23" t="s">
        <v>16</v>
      </c>
      <c r="E17" s="24">
        <v>39</v>
      </c>
      <c r="F17" s="3"/>
      <c r="H17"/>
      <c r="I17"/>
      <c r="J17" s="3"/>
      <c r="K17" s="3"/>
      <c r="L17" s="3"/>
    </row>
    <row r="18" spans="1:12" x14ac:dyDescent="0.3">
      <c r="A18" s="25" t="s">
        <v>29</v>
      </c>
      <c r="B18" s="6" t="s">
        <v>12</v>
      </c>
      <c r="C18" s="7">
        <v>43</v>
      </c>
      <c r="D18" s="7" t="s">
        <v>16</v>
      </c>
      <c r="E18" s="26">
        <v>23</v>
      </c>
      <c r="F18" s="3"/>
      <c r="H18"/>
      <c r="I18"/>
      <c r="J18" s="3"/>
      <c r="K18" s="3"/>
      <c r="L18" s="3"/>
    </row>
    <row r="19" spans="1:12" x14ac:dyDescent="0.3">
      <c r="A19" s="25" t="s">
        <v>31</v>
      </c>
      <c r="B19" s="6" t="s">
        <v>108</v>
      </c>
      <c r="C19" s="7">
        <v>62</v>
      </c>
      <c r="D19" s="7" t="s">
        <v>16</v>
      </c>
      <c r="E19" s="26">
        <v>30</v>
      </c>
      <c r="F19" s="3"/>
    </row>
    <row r="20" spans="1:12" ht="15" thickBot="1" x14ac:dyDescent="0.35">
      <c r="A20" s="27" t="s">
        <v>28</v>
      </c>
      <c r="B20" s="28" t="s">
        <v>60</v>
      </c>
      <c r="C20" s="29">
        <v>41</v>
      </c>
      <c r="D20" s="29" t="s">
        <v>16</v>
      </c>
      <c r="E20" s="30">
        <v>37</v>
      </c>
      <c r="F20" s="3"/>
    </row>
    <row r="21" spans="1:12" x14ac:dyDescent="0.3">
      <c r="F21" s="3"/>
      <c r="H21"/>
      <c r="I21"/>
    </row>
    <row r="22" spans="1:12" x14ac:dyDescent="0.3">
      <c r="F22" s="3"/>
      <c r="H22"/>
      <c r="I22"/>
    </row>
    <row r="23" spans="1:12" ht="15" thickBot="1" x14ac:dyDescent="0.35">
      <c r="A23" s="20" t="s">
        <v>104</v>
      </c>
      <c r="F23" s="3"/>
      <c r="H23"/>
      <c r="I23"/>
    </row>
    <row r="24" spans="1:12" x14ac:dyDescent="0.3">
      <c r="A24" s="21" t="s">
        <v>60</v>
      </c>
      <c r="B24" s="22" t="s">
        <v>108</v>
      </c>
      <c r="C24" s="23">
        <v>35</v>
      </c>
      <c r="D24" s="23" t="s">
        <v>16</v>
      </c>
      <c r="E24" s="24">
        <v>50</v>
      </c>
      <c r="H24"/>
      <c r="I24"/>
      <c r="J24" s="3"/>
      <c r="K24" s="3"/>
      <c r="L24" s="3"/>
    </row>
    <row r="25" spans="1:12" x14ac:dyDescent="0.3">
      <c r="A25" s="25" t="s">
        <v>12</v>
      </c>
      <c r="B25" s="6" t="s">
        <v>31</v>
      </c>
      <c r="C25" s="7">
        <v>33</v>
      </c>
      <c r="D25" s="7" t="s">
        <v>16</v>
      </c>
      <c r="E25" s="26">
        <v>56</v>
      </c>
      <c r="H25"/>
      <c r="I25"/>
      <c r="J25" s="3"/>
      <c r="K25" s="3"/>
      <c r="L25" s="3"/>
    </row>
    <row r="26" spans="1:12" x14ac:dyDescent="0.3">
      <c r="A26" s="25" t="s">
        <v>31</v>
      </c>
      <c r="B26" s="6" t="s">
        <v>60</v>
      </c>
      <c r="C26" s="7">
        <v>50</v>
      </c>
      <c r="D26" s="7" t="s">
        <v>16</v>
      </c>
      <c r="E26" s="26">
        <v>35</v>
      </c>
    </row>
    <row r="27" spans="1:12" x14ac:dyDescent="0.3">
      <c r="A27" s="25" t="s">
        <v>28</v>
      </c>
      <c r="B27" s="6" t="s">
        <v>12</v>
      </c>
      <c r="C27" s="7">
        <v>36</v>
      </c>
      <c r="D27" s="7" t="s">
        <v>16</v>
      </c>
      <c r="E27" s="26">
        <v>43</v>
      </c>
    </row>
    <row r="28" spans="1:12" ht="15" thickBot="1" x14ac:dyDescent="0.35">
      <c r="A28" s="27" t="s">
        <v>44</v>
      </c>
      <c r="B28" s="28" t="s">
        <v>29</v>
      </c>
      <c r="C28" s="29">
        <v>44</v>
      </c>
      <c r="D28" s="29" t="s">
        <v>16</v>
      </c>
      <c r="E28" s="30">
        <v>43</v>
      </c>
    </row>
    <row r="31" spans="1:12" ht="15" thickBot="1" x14ac:dyDescent="0.35">
      <c r="A31" s="20" t="s">
        <v>141</v>
      </c>
    </row>
    <row r="32" spans="1:12" x14ac:dyDescent="0.3">
      <c r="A32" s="21" t="s">
        <v>44</v>
      </c>
      <c r="B32" s="22" t="s">
        <v>12</v>
      </c>
      <c r="C32" s="23">
        <v>41</v>
      </c>
      <c r="D32" s="23"/>
      <c r="E32" s="24">
        <v>42</v>
      </c>
      <c r="H32"/>
      <c r="I32"/>
      <c r="J32" s="3"/>
      <c r="K32" s="3"/>
      <c r="L32" s="3"/>
    </row>
    <row r="33" spans="1:12" x14ac:dyDescent="0.3">
      <c r="A33" s="25" t="s">
        <v>29</v>
      </c>
      <c r="B33" s="6" t="s">
        <v>31</v>
      </c>
      <c r="C33" s="7">
        <v>73</v>
      </c>
      <c r="D33" s="7"/>
      <c r="E33" s="26">
        <v>37</v>
      </c>
      <c r="H33"/>
      <c r="I33"/>
      <c r="J33" s="3"/>
      <c r="K33" s="3"/>
      <c r="L33" s="3"/>
    </row>
    <row r="34" spans="1:12" x14ac:dyDescent="0.3">
      <c r="A34" s="25" t="s">
        <v>108</v>
      </c>
      <c r="B34" s="6" t="s">
        <v>28</v>
      </c>
      <c r="C34" s="79"/>
      <c r="D34" s="79"/>
      <c r="E34" s="80"/>
      <c r="F34" s="63" t="s">
        <v>142</v>
      </c>
    </row>
    <row r="35" spans="1:12" x14ac:dyDescent="0.3">
      <c r="A35" s="25" t="s">
        <v>60</v>
      </c>
      <c r="B35" s="6" t="s">
        <v>44</v>
      </c>
      <c r="C35" s="7">
        <v>31</v>
      </c>
      <c r="D35" s="7"/>
      <c r="E35" s="26">
        <v>38</v>
      </c>
    </row>
    <row r="36" spans="1:12" x14ac:dyDescent="0.3">
      <c r="A36" s="25" t="s">
        <v>28</v>
      </c>
      <c r="B36" s="6" t="s">
        <v>29</v>
      </c>
      <c r="C36" s="7">
        <v>36</v>
      </c>
      <c r="D36" s="7"/>
      <c r="E36" s="26">
        <v>70</v>
      </c>
    </row>
    <row r="37" spans="1:12" ht="15" thickBot="1" x14ac:dyDescent="0.35">
      <c r="A37" s="27" t="s">
        <v>12</v>
      </c>
      <c r="B37" s="27" t="s">
        <v>108</v>
      </c>
      <c r="C37" s="81"/>
      <c r="D37" s="81"/>
      <c r="E37" s="82"/>
      <c r="F37" s="63" t="s">
        <v>142</v>
      </c>
    </row>
    <row r="40" spans="1:12" ht="15" thickBot="1" x14ac:dyDescent="0.35">
      <c r="A40" s="20" t="s">
        <v>145</v>
      </c>
    </row>
    <row r="41" spans="1:12" x14ac:dyDescent="0.3">
      <c r="A41" s="21" t="s">
        <v>44</v>
      </c>
      <c r="B41" s="22" t="s">
        <v>108</v>
      </c>
      <c r="C41" s="23">
        <v>54</v>
      </c>
      <c r="D41" s="23" t="s">
        <v>16</v>
      </c>
      <c r="E41" s="24">
        <v>33</v>
      </c>
    </row>
    <row r="42" spans="1:12" x14ac:dyDescent="0.3">
      <c r="A42" s="25" t="s">
        <v>31</v>
      </c>
      <c r="B42" s="6" t="s">
        <v>28</v>
      </c>
      <c r="C42" s="7">
        <v>53</v>
      </c>
      <c r="D42" s="7" t="s">
        <v>16</v>
      </c>
      <c r="E42" s="26">
        <v>46</v>
      </c>
    </row>
    <row r="43" spans="1:12" x14ac:dyDescent="0.3">
      <c r="A43" s="25" t="s">
        <v>29</v>
      </c>
      <c r="B43" s="6" t="s">
        <v>108</v>
      </c>
      <c r="C43" s="7">
        <v>78</v>
      </c>
      <c r="D43" s="7" t="s">
        <v>16</v>
      </c>
      <c r="E43" s="26">
        <v>22</v>
      </c>
    </row>
    <row r="44" spans="1:12" x14ac:dyDescent="0.3">
      <c r="A44" s="25" t="s">
        <v>60</v>
      </c>
      <c r="B44" s="6" t="s">
        <v>12</v>
      </c>
      <c r="C44" s="7">
        <v>22</v>
      </c>
      <c r="D44" s="7" t="s">
        <v>16</v>
      </c>
      <c r="E44" s="26">
        <v>42</v>
      </c>
    </row>
    <row r="45" spans="1:12" x14ac:dyDescent="0.3">
      <c r="A45" s="25" t="s">
        <v>44</v>
      </c>
      <c r="B45" s="6" t="s">
        <v>31</v>
      </c>
      <c r="C45" s="7">
        <v>52</v>
      </c>
      <c r="D45" s="7" t="s">
        <v>16</v>
      </c>
      <c r="E45" s="26">
        <v>47</v>
      </c>
    </row>
    <row r="46" spans="1:12" ht="15" thickBot="1" x14ac:dyDescent="0.35">
      <c r="A46" s="27" t="s">
        <v>29</v>
      </c>
      <c r="B46" s="28" t="s">
        <v>60</v>
      </c>
      <c r="C46" s="28">
        <v>59</v>
      </c>
      <c r="D46" s="28" t="s">
        <v>16</v>
      </c>
      <c r="E46" s="90">
        <v>32</v>
      </c>
      <c r="H46" s="41"/>
      <c r="I46"/>
    </row>
    <row r="47" spans="1:12" x14ac:dyDescent="0.3">
      <c r="G47" s="42"/>
      <c r="H47"/>
      <c r="I47"/>
      <c r="J47" s="3"/>
      <c r="K47" s="3"/>
      <c r="L47" s="3"/>
    </row>
    <row r="48" spans="1:12" x14ac:dyDescent="0.3">
      <c r="H48"/>
      <c r="I48"/>
      <c r="J48" s="3"/>
      <c r="K48" s="3"/>
      <c r="L48" s="3"/>
    </row>
    <row r="49" spans="8:12" x14ac:dyDescent="0.3">
      <c r="H49"/>
      <c r="I49"/>
      <c r="J49" s="3"/>
      <c r="K49" s="3"/>
      <c r="L49" s="3"/>
    </row>
    <row r="50" spans="8:12" x14ac:dyDescent="0.3">
      <c r="H50"/>
      <c r="I50"/>
      <c r="J50" s="3"/>
      <c r="K50" s="3"/>
      <c r="L50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5E20-F4E2-435F-8E14-9C1D6BA279B5}">
  <sheetPr codeName="Sheet21">
    <tabColor rgb="FFFF0000"/>
  </sheetPr>
  <dimension ref="A1:AG42"/>
  <sheetViews>
    <sheetView topLeftCell="A4" workbookViewId="0">
      <selection activeCell="H11" sqref="H11"/>
    </sheetView>
  </sheetViews>
  <sheetFormatPr defaultRowHeight="14.4" x14ac:dyDescent="0.3"/>
  <cols>
    <col min="1" max="1" width="20.88671875" bestFit="1" customWidth="1"/>
    <col min="2" max="2" width="13.88671875" bestFit="1" customWidth="1"/>
    <col min="3" max="3" width="3" bestFit="1" customWidth="1"/>
    <col min="4" max="4" width="1.5546875" bestFit="1" customWidth="1"/>
    <col min="5" max="5" width="3" bestFit="1" customWidth="1"/>
    <col min="6" max="6" width="7.6640625" bestFit="1" customWidth="1"/>
    <col min="7" max="7" width="10" style="3" bestFit="1" customWidth="1"/>
    <col min="8" max="8" width="14.1093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4.554687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8" width="3.109375" hidden="1" customWidth="1"/>
    <col min="29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62" t="s">
        <v>126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102</v>
      </c>
    </row>
    <row r="3" spans="1:33" x14ac:dyDescent="0.3">
      <c r="A3" s="14" t="s">
        <v>9</v>
      </c>
      <c r="B3" s="19" t="s">
        <v>23</v>
      </c>
      <c r="H3" s="13" t="s">
        <v>10</v>
      </c>
      <c r="W3" s="12" t="str">
        <f>A4</f>
        <v>Cape Winelands</v>
      </c>
      <c r="X3" s="2" cm="1">
        <f t="array" ref="X3">SUM(($A$17:$A$616=W3)*(ISNUMBER($C$17:$C$616)),($B$17:$B$616=W3)*(ISNUMBER($E$17:$E$616)))</f>
        <v>4</v>
      </c>
      <c r="Y3" s="3" cm="1">
        <f t="array" ref="Y3">SUMPRODUCT(($A$17:$A$616=W3)*($C$17:$C$616&gt;$E$17:$E$616)) +
 SUMPRODUCT(($B$17:$B$616=W3)*($E$17:$E$616&gt;$C$17:$C$616)) + 1</f>
        <v>5</v>
      </c>
      <c r="Z3" s="3" cm="1">
        <f t="array" ref="Z3">SUM(($A$17:$A$616=W3)*($C$17:$C$616=$E$17:$E$616)*ISNUMBER($E$17:$E$616),($B$17:$B$616=W3)*($E$17:$E$616=$C$17:$C$616)*ISNUMBER($C$17:$C$616))</f>
        <v>0</v>
      </c>
      <c r="AA3" s="3" cm="1">
        <f t="array" ref="AA3">SUM(($A$17:$A$616=W3)*($C$17:$C$616&lt;$E$17:$E$616),($B$17:$B$616=W3)*($E$17:$E$616&lt;$C$17:$C$616))</f>
        <v>0</v>
      </c>
      <c r="AB3" s="4">
        <f t="shared" ref="AB3:AB8" si="0">SUMIF($A$17:$A$616,W3,$C$17:$C$616)+SUMIF($B$17:$B$616,W3,$E$17:$E$616)</f>
        <v>177</v>
      </c>
      <c r="AC3" s="5">
        <f t="shared" ref="AC3:AC8" si="1">SUMIF($A$17:$A$616,W3,$E$17:$E$616)+SUMIF($B$17:$B$616,W3,$C$17:$C$616)</f>
        <v>124</v>
      </c>
      <c r="AD3" s="3">
        <f>AB3-AC3</f>
        <v>53</v>
      </c>
      <c r="AE3" s="4">
        <f>Y3*Points!$B$2+Z3*Points!$B$3</f>
        <v>10</v>
      </c>
      <c r="AF3">
        <f>AB3+AD3*10000+AE3*100000000</f>
        <v>1000530177</v>
      </c>
      <c r="AG3">
        <f>AB3/AC3/X3</f>
        <v>0.35685483870967744</v>
      </c>
    </row>
    <row r="4" spans="1:33" ht="28.8" x14ac:dyDescent="0.55000000000000004">
      <c r="A4" s="6" t="s">
        <v>46</v>
      </c>
      <c r="B4">
        <v>2</v>
      </c>
      <c r="H4" s="99" t="s">
        <v>126</v>
      </c>
      <c r="I4" s="100"/>
      <c r="J4" s="100"/>
      <c r="K4" s="100"/>
      <c r="L4" s="100"/>
      <c r="M4" s="100"/>
      <c r="N4" s="100"/>
      <c r="O4" s="100"/>
      <c r="P4" s="100"/>
      <c r="Q4" s="100"/>
      <c r="W4" s="1" t="str">
        <f>A5</f>
        <v>Tshwane B</v>
      </c>
      <c r="X4" s="2" cm="1">
        <f t="array" ref="X4">SUM(($A$17:$A$616=W4)*(ISNUMBER($C$17:$C$616)),($B$17:$B$616=W4)*(ISNUMBER($E$17:$E$616)))</f>
        <v>4</v>
      </c>
      <c r="Y4" s="3" cm="1">
        <f t="array" ref="Y4">SUMPRODUCT(($A$17:$A$616=W4)*($C$17:$C$616&gt;$E$17:$E$616)) +
 SUMPRODUCT(($B$17:$B$616=W4)*($E$17:$E$616&gt;$C$17:$C$616))</f>
        <v>4</v>
      </c>
      <c r="Z4" s="3" cm="1">
        <f t="array" ref="Z4">SUM(($A$17:$A$616=W4)*($C$17:$C$616=$E$17:$E$616)*ISNUMBER($E$17:$E$616),($B$17:$B$616=W4)*($E$17:$E$616=$C$17:$C$616)*ISNUMBER($C$17:$C$616))</f>
        <v>0</v>
      </c>
      <c r="AA4" s="3" cm="1">
        <f t="array" ref="AA4">SUM(($A$17:$A$616=W4)*($C$17:$C$616&lt;$E$17:$E$616),($B$17:$B$616=W4)*($E$17:$E$616&lt;$C$17:$C$616)) + 1</f>
        <v>1</v>
      </c>
      <c r="AB4" s="4">
        <f t="shared" si="0"/>
        <v>179</v>
      </c>
      <c r="AC4" s="5">
        <f t="shared" si="1"/>
        <v>107</v>
      </c>
      <c r="AD4" s="3">
        <f t="shared" ref="AD4" si="2">AB4-AC4</f>
        <v>72</v>
      </c>
      <c r="AE4" s="4">
        <f>Y4*Points!$B$2+Z4*Points!$B$3</f>
        <v>8</v>
      </c>
      <c r="AF4">
        <f t="shared" ref="AF4" si="3">AB4+AD4*10000+AE4*100000000</f>
        <v>800720179</v>
      </c>
      <c r="AG4">
        <f t="shared" ref="AG4:AG8" si="4">AB4/AC4/X4</f>
        <v>0.41822429906542058</v>
      </c>
    </row>
    <row r="5" spans="1:33" x14ac:dyDescent="0.3">
      <c r="A5" s="6" t="s">
        <v>42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Buffalo City</v>
      </c>
      <c r="X5" s="2" cm="1">
        <f t="array" ref="X5">SUM(($A$17:$A$616=W5)*(ISNUMBER($C$17:$C$616)),($B$17:$B$616=W5)*(ISNUMBER($E$17:$E$616)))</f>
        <v>5</v>
      </c>
      <c r="Y5" s="3" cm="1">
        <f t="array" ref="Y5">SUMPRODUCT(($A$17:$A$616=W5)*($C$17:$C$616&gt;$E$17:$E$616)) +
 SUMPRODUCT(($B$17:$B$616=W5)*($E$17:$E$616&gt;$C$17:$C$616))</f>
        <v>1</v>
      </c>
      <c r="Z5" s="3" cm="1">
        <f t="array" ref="Z5">SUM(($A$17:$A$616=W5)*($C$17:$C$616=$E$17:$E$616)*ISNUMBER($E$17:$E$616),($B$17:$B$616=W5)*($E$17:$E$616=$C$17:$C$616)*ISNUMBER($C$17:$C$616))</f>
        <v>0</v>
      </c>
      <c r="AA5" s="3" cm="1">
        <f t="array" ref="AA5">SUM(($A$17:$A$616=W5)*($C$17:$C$616&lt;$E$17:$E$616),($B$17:$B$616=W5)*($E$17:$E$616&lt;$C$17:$C$616))</f>
        <v>4</v>
      </c>
      <c r="AB5" s="4">
        <f t="shared" si="0"/>
        <v>164</v>
      </c>
      <c r="AC5" s="5">
        <f t="shared" si="1"/>
        <v>246</v>
      </c>
      <c r="AD5" s="3">
        <f>AB5-AC5</f>
        <v>-82</v>
      </c>
      <c r="AE5" s="4">
        <f>Y5*Points!$B$2+Z5*Points!$B$3</f>
        <v>2</v>
      </c>
      <c r="AF5">
        <f>AB5+AD5*10000+AE5*100000000</f>
        <v>199180164</v>
      </c>
      <c r="AG5">
        <f t="shared" si="4"/>
        <v>0.13333333333333333</v>
      </c>
    </row>
    <row r="6" spans="1:33" x14ac:dyDescent="0.3">
      <c r="A6" s="6" t="s">
        <v>38</v>
      </c>
      <c r="H6" s="6" t="str" cm="1">
        <f t="array" ref="H6">INDEX($W$3:$W$8,MATCH(LARGE($AF$3:$AF$8-ROW($AF$3:$AF$8)/COUNT($AF$3:$AF$8),ROW(H6)-ROW(H$6)+1),$AF$3:$AF$8-ROW($AF$3:$AF$8)/COUNT($AF$3:$AF$8),0))</f>
        <v>Cape Winelands</v>
      </c>
      <c r="I6" s="7">
        <f>VLOOKUP($H6,$W$3:$AE$8,2,0)</f>
        <v>4</v>
      </c>
      <c r="J6" s="7">
        <f>VLOOKUP($H6,$W$3:$AE$8,3,0)</f>
        <v>5</v>
      </c>
      <c r="K6" s="7">
        <f t="shared" ref="K6:K11" si="5">VLOOKUP($H6,$W$3:$AE$8,5,0)</f>
        <v>0</v>
      </c>
      <c r="L6" s="7">
        <f>VLOOKUP($H6,$W$3:$AE$8,4,0)</f>
        <v>0</v>
      </c>
      <c r="M6" s="7">
        <f>VLOOKUP($H6,$W$3:$AE$8,9,0)</f>
        <v>10</v>
      </c>
      <c r="N6" s="7">
        <f>VLOOKUP($H6,$W$3:$AE$8,6,0)</f>
        <v>177</v>
      </c>
      <c r="O6" s="7">
        <f>VLOOKUP($H6,$W$3:$AE$8,7,0)</f>
        <v>124</v>
      </c>
      <c r="P6" s="7">
        <f>VLOOKUP($H6,$W$3:$AE$8,8,0)</f>
        <v>53</v>
      </c>
      <c r="Q6" s="59">
        <f>VLOOKUP($H6,$W$3:$AG$8,11,0)</f>
        <v>0.35685483870967744</v>
      </c>
      <c r="W6" s="1" t="str">
        <f t="shared" ref="W6:W8" si="6">A7</f>
        <v>OR Tambo</v>
      </c>
      <c r="X6" s="2" cm="1">
        <f t="array" ref="X6">SUM(($A$17:$A$616=W6)*(ISNUMBER($C$17:$C$616)),($B$17:$B$616=W6)*(ISNUMBER($E$17:$E$616)))</f>
        <v>5</v>
      </c>
      <c r="Y6" s="3" cm="1">
        <f t="array" ref="Y6">SUMPRODUCT(($A$17:$A$616=W6)*($C$17:$C$616&gt;$E$17:$E$616)) +
 SUMPRODUCT(($B$17:$B$616=W6)*($E$17:$E$616&gt;$C$17:$C$616))</f>
        <v>3</v>
      </c>
      <c r="Z6" s="3" cm="1">
        <f t="array" ref="Z6">SUM(($A$17:$A$616=W6)*($C$17:$C$616=$E$17:$E$616)*ISNUMBER($E$17:$E$616),($B$17:$B$616=W6)*($E$17:$E$616=$C$17:$C$616)*ISNUMBER($C$17:$C$616))</f>
        <v>0</v>
      </c>
      <c r="AA6" s="3" cm="1">
        <f t="array" ref="AA6">SUM(($A$17:$A$616=W6)*($C$17:$C$616&lt;$E$17:$E$616),($B$17:$B$616=W6)*($E$17:$E$616&lt;$C$17:$C$616))</f>
        <v>2</v>
      </c>
      <c r="AB6" s="4">
        <f t="shared" si="0"/>
        <v>200</v>
      </c>
      <c r="AC6" s="5">
        <f t="shared" si="1"/>
        <v>188</v>
      </c>
      <c r="AD6" s="3">
        <f t="shared" ref="AD6:AD8" si="7">AB6-AC6</f>
        <v>12</v>
      </c>
      <c r="AE6" s="4">
        <f>Y6*Points!$B$2+Z6*Points!$B$3</f>
        <v>6</v>
      </c>
      <c r="AF6">
        <f t="shared" ref="AF6:AF8" si="8">AB6+AD6*10000+AE6*100000000</f>
        <v>600120200</v>
      </c>
      <c r="AG6">
        <f t="shared" si="4"/>
        <v>0.21276595744680851</v>
      </c>
    </row>
    <row r="7" spans="1:33" x14ac:dyDescent="0.3">
      <c r="A7" s="6" t="s">
        <v>45</v>
      </c>
      <c r="H7" s="6" t="str" cm="1">
        <f t="array" ref="H7">INDEX($W$3:$W$8,MATCH(LARGE($AF$3:$AF$8-ROW($AF$3:$AF$8)/COUNT($AF$3:$AF$8),ROW(H7)-ROW(H$6)+1),$AF$3:$AF$8-ROW($AF$3:$AF$8)/COUNT($AF$3:$AF$8),0))</f>
        <v>Tshwane B</v>
      </c>
      <c r="I7" s="7">
        <f t="shared" ref="I7:I11" si="9">VLOOKUP($H7,$W$3:$AE$8,2,0)</f>
        <v>4</v>
      </c>
      <c r="J7" s="7">
        <f t="shared" ref="J7:J11" si="10">VLOOKUP($H7,$W$3:$AE$8,3,0)</f>
        <v>4</v>
      </c>
      <c r="K7" s="7">
        <f t="shared" si="5"/>
        <v>1</v>
      </c>
      <c r="L7" s="7">
        <f t="shared" ref="L7:L11" si="11">VLOOKUP($H7,$W$3:$AE$8,4,0)</f>
        <v>0</v>
      </c>
      <c r="M7" s="7">
        <f t="shared" ref="M7:M11" si="12">VLOOKUP($H7,$W$3:$AE$8,9,0)</f>
        <v>8</v>
      </c>
      <c r="N7" s="7">
        <f t="shared" ref="N7:N11" si="13">VLOOKUP($H7,$W$3:$AE$8,6,0)</f>
        <v>179</v>
      </c>
      <c r="O7" s="7">
        <f t="shared" ref="O7:O11" si="14">VLOOKUP($H7,$W$3:$AE$8,7,0)</f>
        <v>107</v>
      </c>
      <c r="P7" s="7">
        <f t="shared" ref="P7:P11" si="15">VLOOKUP($H7,$W$3:$AE$8,8,0)</f>
        <v>72</v>
      </c>
      <c r="Q7" s="59">
        <f t="shared" ref="Q7:Q11" si="16">VLOOKUP($H7,$W$3:$AG$8,11,0)</f>
        <v>0.41822429906542058</v>
      </c>
      <c r="W7" s="1" t="str">
        <f t="shared" si="6"/>
        <v>Bojanala</v>
      </c>
      <c r="X7" s="2" cm="1">
        <f t="array" ref="X7">SUM(($A$17:$A$616=W7)*(ISNUMBER($C$17:$C$616)),($B$17:$B$616=W7)*(ISNUMBER($E$17:$E$616)))</f>
        <v>5</v>
      </c>
      <c r="Y7" s="3" cm="1">
        <f t="array" ref="Y7">SUMPRODUCT(($A$17:$A$616=W7)*($C$17:$C$616&gt;$E$17:$E$616)) +
 SUMPRODUCT(($B$17:$B$616=W7)*($E$17:$E$616&gt;$C$17:$C$616))</f>
        <v>0</v>
      </c>
      <c r="Z7" s="3" cm="1">
        <f t="array" ref="Z7">SUM(($A$17:$A$616=W7)*($C$17:$C$616=$E$17:$E$616)*ISNUMBER($E$17:$E$616),($B$17:$B$616=W7)*($E$17:$E$616=$C$17:$C$616)*ISNUMBER($C$17:$C$616))</f>
        <v>0</v>
      </c>
      <c r="AA7" s="3" cm="1">
        <f t="array" ref="AA7">SUM(($A$17:$A$616=W7)*($C$17:$C$616&lt;$E$17:$E$616),($B$17:$B$616=W7)*($E$17:$E$616&lt;$C$17:$C$616))</f>
        <v>5</v>
      </c>
      <c r="AB7" s="4">
        <f t="shared" si="0"/>
        <v>156</v>
      </c>
      <c r="AC7" s="5">
        <f t="shared" si="1"/>
        <v>211</v>
      </c>
      <c r="AD7" s="3">
        <f t="shared" si="7"/>
        <v>-55</v>
      </c>
      <c r="AE7" s="4">
        <f>Y7*Points!$B$2+Z7*Points!$B$3</f>
        <v>0</v>
      </c>
      <c r="AF7">
        <f t="shared" si="8"/>
        <v>-549844</v>
      </c>
      <c r="AG7">
        <f t="shared" si="4"/>
        <v>0.14786729857819905</v>
      </c>
    </row>
    <row r="8" spans="1:33" x14ac:dyDescent="0.3">
      <c r="A8" s="6" t="s">
        <v>26</v>
      </c>
      <c r="H8" s="6" t="str" cm="1">
        <f t="array" ref="H8">INDEX($W$3:$W$8,MATCH(LARGE($AF$3:$AF$8-ROW($AF$3:$AF$8)/COUNT($AF$3:$AF$8),ROW(H8)-ROW(H$6)+1),$AF$3:$AF$8-ROW($AF$3:$AF$8)/COUNT($AF$3:$AF$8),0))</f>
        <v>OR Tambo</v>
      </c>
      <c r="I8" s="7">
        <f t="shared" si="9"/>
        <v>5</v>
      </c>
      <c r="J8" s="7">
        <f t="shared" si="10"/>
        <v>3</v>
      </c>
      <c r="K8" s="7">
        <f t="shared" si="5"/>
        <v>2</v>
      </c>
      <c r="L8" s="7">
        <f t="shared" si="11"/>
        <v>0</v>
      </c>
      <c r="M8" s="7">
        <f t="shared" si="12"/>
        <v>6</v>
      </c>
      <c r="N8" s="7">
        <f t="shared" si="13"/>
        <v>200</v>
      </c>
      <c r="O8" s="7">
        <f t="shared" si="14"/>
        <v>188</v>
      </c>
      <c r="P8" s="7">
        <f t="shared" si="15"/>
        <v>12</v>
      </c>
      <c r="Q8" s="59">
        <f t="shared" si="16"/>
        <v>0.21276595744680851</v>
      </c>
      <c r="W8" s="1" t="str">
        <f t="shared" si="6"/>
        <v>King Cetshwayo</v>
      </c>
      <c r="X8" s="2" cm="1">
        <f t="array" ref="X8">SUM(($A$17:$A$616=W8)*(ISNUMBER($C$17:$C$616)),($B$17:$B$616=W8)*(ISNUMBER($E$17:$E$616)))</f>
        <v>5</v>
      </c>
      <c r="Y8" s="3" cm="1">
        <f t="array" ref="Y8">SUMPRODUCT(($A$17:$A$616=W8)*($C$17:$C$616&gt;$E$17:$E$616)) +
 SUMPRODUCT(($B$17:$B$616=W8)*($E$17:$E$616&gt;$C$17:$C$616))</f>
        <v>2</v>
      </c>
      <c r="Z8" s="3" cm="1">
        <f t="array" ref="Z8">SUM(($A$17:$A$616=W8)*($C$17:$C$616=$E$17:$E$616)*ISNUMBER($E$17:$E$616),($B$17:$B$616=W8)*($E$17:$E$616=$C$17:$C$616)*ISNUMBER($C$17:$C$616))</f>
        <v>0</v>
      </c>
      <c r="AA8" s="3" cm="1">
        <f t="array" ref="AA8">SUM(($A$17:$A$616=W8)*($C$17:$C$616&lt;$E$17:$E$616),($B$17:$B$616=W8)*($E$17:$E$616&lt;$C$17:$C$616))</f>
        <v>3</v>
      </c>
      <c r="AB8" s="4">
        <f t="shared" si="0"/>
        <v>207</v>
      </c>
      <c r="AC8" s="5">
        <f t="shared" si="1"/>
        <v>207</v>
      </c>
      <c r="AD8" s="3">
        <f t="shared" si="7"/>
        <v>0</v>
      </c>
      <c r="AE8" s="4">
        <f>Y8*Points!$B$2+Z8*Points!$B$3</f>
        <v>4</v>
      </c>
      <c r="AF8">
        <f t="shared" si="8"/>
        <v>400000207</v>
      </c>
      <c r="AG8">
        <f t="shared" si="4"/>
        <v>0.2</v>
      </c>
    </row>
    <row r="9" spans="1:33" x14ac:dyDescent="0.3">
      <c r="A9" s="6" t="s">
        <v>71</v>
      </c>
      <c r="H9" s="6" t="str" cm="1">
        <f t="array" ref="H9">INDEX($W$3:$W$8,MATCH(LARGE($AF$3:$AF$8-ROW($AF$3:$AF$8)/COUNT($AF$3:$AF$8),ROW(H9)-ROW(H$6)+1),$AF$3:$AF$8-ROW($AF$3:$AF$8)/COUNT($AF$3:$AF$8),0))</f>
        <v>King Cetshwayo</v>
      </c>
      <c r="I9" s="7">
        <f t="shared" si="9"/>
        <v>5</v>
      </c>
      <c r="J9" s="7">
        <f t="shared" si="10"/>
        <v>2</v>
      </c>
      <c r="K9" s="7">
        <f t="shared" si="5"/>
        <v>3</v>
      </c>
      <c r="L9" s="7">
        <f t="shared" si="11"/>
        <v>0</v>
      </c>
      <c r="M9" s="7">
        <f t="shared" si="12"/>
        <v>4</v>
      </c>
      <c r="N9" s="7">
        <f t="shared" si="13"/>
        <v>207</v>
      </c>
      <c r="O9" s="7">
        <f t="shared" si="14"/>
        <v>207</v>
      </c>
      <c r="P9" s="7">
        <f t="shared" si="15"/>
        <v>0</v>
      </c>
      <c r="Q9" s="59">
        <f t="shared" si="16"/>
        <v>0.2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 s="6" t="str" cm="1">
        <f t="array" ref="H10">INDEX($W$3:$W$8,MATCH(LARGE($AF$3:$AF$8-ROW($AF$3:$AF$8)/COUNT($AF$3:$AF$8),ROW(H10)-ROW(H$6)+1),$AF$3:$AF$8-ROW($AF$3:$AF$8)/COUNT($AF$3:$AF$8),0))</f>
        <v>Buffalo City</v>
      </c>
      <c r="I10" s="7">
        <f t="shared" si="9"/>
        <v>5</v>
      </c>
      <c r="J10" s="7">
        <f t="shared" si="10"/>
        <v>1</v>
      </c>
      <c r="K10" s="7">
        <f t="shared" si="5"/>
        <v>4</v>
      </c>
      <c r="L10" s="7">
        <f t="shared" si="11"/>
        <v>0</v>
      </c>
      <c r="M10" s="7">
        <f t="shared" si="12"/>
        <v>2</v>
      </c>
      <c r="N10" s="7">
        <f t="shared" si="13"/>
        <v>164</v>
      </c>
      <c r="O10" s="7">
        <f t="shared" si="14"/>
        <v>246</v>
      </c>
      <c r="P10" s="7">
        <f t="shared" si="15"/>
        <v>-82</v>
      </c>
      <c r="Q10" s="59">
        <f t="shared" si="16"/>
        <v>0.13333333333333333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INDEX($W$3:$W$8,MATCH(LARGE($AF$3:$AF$8-ROW($AF$3:$AF$8)/COUNT($AF$3:$AF$8),ROW(H11)-ROW(H$6)+1),$AF$3:$AF$8-ROW($AF$3:$AF$8)/COUNT($AF$3:$AF$8),0))</f>
        <v>Bojanala</v>
      </c>
      <c r="I11" s="7">
        <f t="shared" si="9"/>
        <v>5</v>
      </c>
      <c r="J11" s="7">
        <f t="shared" si="10"/>
        <v>0</v>
      </c>
      <c r="K11" s="7">
        <f t="shared" si="5"/>
        <v>5</v>
      </c>
      <c r="L11" s="7">
        <f t="shared" si="11"/>
        <v>0</v>
      </c>
      <c r="M11" s="7">
        <f t="shared" si="12"/>
        <v>0</v>
      </c>
      <c r="N11" s="7">
        <f t="shared" si="13"/>
        <v>156</v>
      </c>
      <c r="O11" s="7">
        <f t="shared" si="14"/>
        <v>211</v>
      </c>
      <c r="P11" s="7">
        <f t="shared" si="15"/>
        <v>-55</v>
      </c>
      <c r="Q11" s="59">
        <f t="shared" si="16"/>
        <v>0.14786729857819905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2" x14ac:dyDescent="0.3">
      <c r="A17" s="21" t="s">
        <v>46</v>
      </c>
      <c r="B17" s="22" t="s">
        <v>71</v>
      </c>
      <c r="C17" s="23">
        <v>44</v>
      </c>
      <c r="D17" s="23" t="s">
        <v>16</v>
      </c>
      <c r="E17" s="24">
        <v>40</v>
      </c>
      <c r="F17" s="3"/>
      <c r="H17"/>
      <c r="I17"/>
      <c r="J17" s="3"/>
      <c r="K17" s="3"/>
      <c r="L17" s="3"/>
    </row>
    <row r="18" spans="1:12" x14ac:dyDescent="0.3">
      <c r="A18" s="25" t="s">
        <v>42</v>
      </c>
      <c r="B18" s="6" t="s">
        <v>26</v>
      </c>
      <c r="C18" s="7">
        <v>36</v>
      </c>
      <c r="D18" s="7" t="s">
        <v>16</v>
      </c>
      <c r="E18" s="26">
        <v>26</v>
      </c>
      <c r="F18" s="3"/>
      <c r="H18"/>
      <c r="I18"/>
      <c r="J18" s="3"/>
      <c r="K18" s="3"/>
      <c r="L18" s="3"/>
    </row>
    <row r="19" spans="1:12" ht="15" thickBot="1" x14ac:dyDescent="0.35">
      <c r="A19" s="27" t="s">
        <v>45</v>
      </c>
      <c r="B19" s="28" t="s">
        <v>38</v>
      </c>
      <c r="C19" s="29">
        <v>53</v>
      </c>
      <c r="D19" s="29" t="s">
        <v>16</v>
      </c>
      <c r="E19" s="30">
        <v>33</v>
      </c>
      <c r="F19" s="3"/>
    </row>
    <row r="20" spans="1:12" x14ac:dyDescent="0.3">
      <c r="F20" s="3"/>
      <c r="H20"/>
      <c r="I20"/>
    </row>
    <row r="21" spans="1:12" x14ac:dyDescent="0.3">
      <c r="F21" s="3"/>
      <c r="H21"/>
      <c r="I21"/>
    </row>
    <row r="22" spans="1:12" ht="15" thickBot="1" x14ac:dyDescent="0.35">
      <c r="A22" s="20" t="s">
        <v>104</v>
      </c>
      <c r="F22" s="3"/>
      <c r="H22"/>
      <c r="I22"/>
    </row>
    <row r="23" spans="1:12" x14ac:dyDescent="0.3">
      <c r="A23" s="21" t="s">
        <v>45</v>
      </c>
      <c r="B23" s="22" t="s">
        <v>26</v>
      </c>
      <c r="C23" s="23">
        <v>40</v>
      </c>
      <c r="D23" s="23" t="str">
        <f>D17</f>
        <v>:</v>
      </c>
      <c r="E23" s="24">
        <v>26</v>
      </c>
      <c r="H23"/>
      <c r="I23"/>
      <c r="J23" s="3"/>
      <c r="K23" s="3"/>
      <c r="L23" s="3"/>
    </row>
    <row r="24" spans="1:12" x14ac:dyDescent="0.3">
      <c r="A24" s="25" t="s">
        <v>38</v>
      </c>
      <c r="B24" s="6" t="s">
        <v>71</v>
      </c>
      <c r="C24" s="7">
        <v>38</v>
      </c>
      <c r="D24" s="7" t="str">
        <f>D18</f>
        <v>:</v>
      </c>
      <c r="E24" s="26">
        <v>52</v>
      </c>
      <c r="H24"/>
      <c r="I24"/>
      <c r="J24" s="3"/>
      <c r="K24" s="3"/>
      <c r="L24" s="3"/>
    </row>
    <row r="25" spans="1:12" ht="15" thickBot="1" x14ac:dyDescent="0.35">
      <c r="A25" s="27" t="s">
        <v>46</v>
      </c>
      <c r="B25" s="28" t="s">
        <v>42</v>
      </c>
      <c r="C25" s="81"/>
      <c r="D25" s="81" t="str">
        <f>D19</f>
        <v>:</v>
      </c>
      <c r="E25" s="82"/>
      <c r="F25" s="63" t="s">
        <v>127</v>
      </c>
    </row>
    <row r="28" spans="1:12" ht="15" thickBot="1" x14ac:dyDescent="0.35">
      <c r="A28" s="20" t="s">
        <v>141</v>
      </c>
    </row>
    <row r="29" spans="1:12" x14ac:dyDescent="0.3">
      <c r="A29" s="21" t="s">
        <v>42</v>
      </c>
      <c r="B29" s="22" t="s">
        <v>45</v>
      </c>
      <c r="C29" s="23">
        <v>48</v>
      </c>
      <c r="D29" s="23" t="s">
        <v>16</v>
      </c>
      <c r="E29" s="24">
        <v>28</v>
      </c>
      <c r="H29"/>
      <c r="I29"/>
      <c r="J29" s="3"/>
      <c r="K29" s="3"/>
      <c r="L29" s="3"/>
    </row>
    <row r="30" spans="1:12" x14ac:dyDescent="0.3">
      <c r="A30" s="25" t="s">
        <v>38</v>
      </c>
      <c r="B30" s="6" t="s">
        <v>46</v>
      </c>
      <c r="C30" s="7">
        <v>26</v>
      </c>
      <c r="D30" s="7" t="s">
        <v>16</v>
      </c>
      <c r="E30" s="26">
        <v>46</v>
      </c>
      <c r="H30"/>
      <c r="I30"/>
      <c r="J30" s="3"/>
      <c r="K30" s="3"/>
      <c r="L30" s="3"/>
    </row>
    <row r="31" spans="1:12" ht="15" thickBot="1" x14ac:dyDescent="0.35">
      <c r="A31" s="27" t="s">
        <v>26</v>
      </c>
      <c r="B31" s="27" t="s">
        <v>71</v>
      </c>
      <c r="C31" s="29">
        <v>40</v>
      </c>
      <c r="D31" s="29" t="s">
        <v>16</v>
      </c>
      <c r="E31" s="30">
        <v>47</v>
      </c>
    </row>
    <row r="34" spans="1:12" ht="15" thickBot="1" x14ac:dyDescent="0.35">
      <c r="A34" s="20" t="s">
        <v>145</v>
      </c>
    </row>
    <row r="35" spans="1:12" x14ac:dyDescent="0.3">
      <c r="A35" s="21" t="s">
        <v>46</v>
      </c>
      <c r="B35" s="22" t="s">
        <v>45</v>
      </c>
      <c r="C35" s="23">
        <v>39</v>
      </c>
      <c r="D35" s="23" t="s">
        <v>16</v>
      </c>
      <c r="E35" s="24">
        <v>33</v>
      </c>
    </row>
    <row r="36" spans="1:12" x14ac:dyDescent="0.3">
      <c r="A36" s="25" t="s">
        <v>42</v>
      </c>
      <c r="B36" s="6" t="s">
        <v>71</v>
      </c>
      <c r="C36" s="7">
        <v>39</v>
      </c>
      <c r="D36" s="7" t="s">
        <v>16</v>
      </c>
      <c r="E36" s="26">
        <v>26</v>
      </c>
    </row>
    <row r="37" spans="1:12" x14ac:dyDescent="0.3">
      <c r="A37" s="25" t="s">
        <v>38</v>
      </c>
      <c r="B37" s="6" t="s">
        <v>26</v>
      </c>
      <c r="C37" s="7">
        <v>40</v>
      </c>
      <c r="D37" s="7" t="s">
        <v>16</v>
      </c>
      <c r="E37" s="26">
        <v>39</v>
      </c>
    </row>
    <row r="38" spans="1:12" x14ac:dyDescent="0.3">
      <c r="A38" s="25" t="s">
        <v>26</v>
      </c>
      <c r="B38" s="6" t="s">
        <v>46</v>
      </c>
      <c r="C38" s="6">
        <v>25</v>
      </c>
      <c r="D38" s="6" t="s">
        <v>16</v>
      </c>
      <c r="E38" s="91">
        <v>48</v>
      </c>
      <c r="H38" s="41"/>
      <c r="I38"/>
    </row>
    <row r="39" spans="1:12" x14ac:dyDescent="0.3">
      <c r="A39" s="25" t="s">
        <v>38</v>
      </c>
      <c r="B39" s="6" t="s">
        <v>42</v>
      </c>
      <c r="C39" s="6">
        <v>27</v>
      </c>
      <c r="D39" s="6" t="s">
        <v>16</v>
      </c>
      <c r="E39" s="91">
        <v>56</v>
      </c>
      <c r="G39" s="42"/>
      <c r="H39"/>
      <c r="I39"/>
      <c r="J39" s="3"/>
      <c r="K39" s="3"/>
      <c r="L39" s="3"/>
    </row>
    <row r="40" spans="1:12" ht="15" thickBot="1" x14ac:dyDescent="0.35">
      <c r="A40" s="27" t="s">
        <v>71</v>
      </c>
      <c r="B40" s="28" t="s">
        <v>45</v>
      </c>
      <c r="C40" s="28">
        <v>42</v>
      </c>
      <c r="D40" s="28" t="s">
        <v>16</v>
      </c>
      <c r="E40" s="90">
        <v>46</v>
      </c>
      <c r="H40"/>
      <c r="I40"/>
      <c r="J40" s="3"/>
      <c r="K40" s="3"/>
      <c r="L40" s="3"/>
    </row>
    <row r="41" spans="1:12" x14ac:dyDescent="0.3">
      <c r="H41"/>
      <c r="I41"/>
      <c r="J41" s="3"/>
      <c r="K41" s="3"/>
      <c r="L41" s="3"/>
    </row>
    <row r="42" spans="1:12" x14ac:dyDescent="0.3">
      <c r="H42"/>
      <c r="I42"/>
      <c r="J42" s="3"/>
      <c r="K42" s="3"/>
      <c r="L42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1AEF5-4DE3-4ED4-977F-17D237616D91}">
  <sheetPr codeName="Sheet16">
    <tabColor rgb="FFC00000"/>
  </sheetPr>
  <dimension ref="A1:AG40"/>
  <sheetViews>
    <sheetView workbookViewId="0">
      <selection activeCell="B33" sqref="B33"/>
    </sheetView>
  </sheetViews>
  <sheetFormatPr defaultRowHeight="14.4" x14ac:dyDescent="0.3"/>
  <cols>
    <col min="1" max="1" width="22.88671875" bestFit="1" customWidth="1"/>
    <col min="2" max="2" width="13.7773437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3.777343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4.4414062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61" t="s">
        <v>124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Johannesburg B</v>
      </c>
      <c r="X3" s="2" cm="1">
        <f t="array" ref="X3">SUM(($A$17:$A$614=W3)*(ISNUMBER($C$17:$C$614)),($B$17:$B$614=W3)*(ISNUMBER($E$17:$E$614)))</f>
        <v>4</v>
      </c>
      <c r="Y3" s="3" cm="1">
        <f t="array" ref="Y3">SUMPRODUCT(($A$17:$A$614=W3)*($C$17:$C$614&gt;$E$17:$E$614)) +
 SUMPRODUCT(($B$17:$B$614=W3)*($E$17:$E$614&gt;$C$17:$C$614))</f>
        <v>4</v>
      </c>
      <c r="Z3" s="3" cm="1">
        <f t="array" ref="Z3">SUM(($A$17:$A$614=W3)*($C$17:$C$614=$E$17:$E$614)*ISNUMBER($E$17:$E$614),($B$17:$B$614=W3)*($E$17:$E$614=$C$17:$C$614)*ISNUMBER($C$17:$C$614))</f>
        <v>0</v>
      </c>
      <c r="AA3" s="3" cm="1">
        <f t="array" ref="AA3">SUM(($A$17:$A$614=W3)*($C$17:$C$614&lt;$E$17:$E$614),($B$17:$B$614=W3)*($E$17:$E$614&lt;$C$17:$C$614))</f>
        <v>0</v>
      </c>
      <c r="AB3" s="4">
        <f>SUMIF($A$17:$A$614,W3,$C$17:$C$614)+SUMIF($B$17:$B$614,W3,$E$17:$E$614)</f>
        <v>180</v>
      </c>
      <c r="AC3" s="5">
        <f>SUMIF($A$17:$A$614,W3,$E$17:$E$614)+SUMIF($B$17:$B$614,W3,$C$17:$C$614)</f>
        <v>148</v>
      </c>
      <c r="AD3" s="3">
        <f>AB3-AC3</f>
        <v>32</v>
      </c>
      <c r="AE3" s="4">
        <f>Y3*Points!$B$2+Z3*Points!$B$3</f>
        <v>8</v>
      </c>
      <c r="AF3">
        <f>AB3+AD3*10000+AE3*100000000</f>
        <v>800320180</v>
      </c>
      <c r="AG3">
        <f>AB3/AC3/X3</f>
        <v>0.30405405405405406</v>
      </c>
    </row>
    <row r="4" spans="1:33" ht="28.8" x14ac:dyDescent="0.55000000000000004">
      <c r="A4" s="6" t="s">
        <v>36</v>
      </c>
      <c r="H4" s="101" t="s">
        <v>124</v>
      </c>
      <c r="I4" s="102"/>
      <c r="J4" s="102"/>
      <c r="K4" s="102"/>
      <c r="L4" s="102"/>
      <c r="M4" s="102"/>
      <c r="N4" s="102"/>
      <c r="O4" s="102"/>
      <c r="P4" s="102"/>
      <c r="Q4" s="102"/>
      <c r="W4" s="1" t="str">
        <f>A5</f>
        <v>NMB</v>
      </c>
      <c r="X4" s="2" cm="1">
        <f t="array" ref="X4">SUM(($A$17:$A$614=W4)*(ISNUMBER($C$17:$C$614)),($B$17:$B$614=W4)*(ISNUMBER($E$17:$E$614)))</f>
        <v>4</v>
      </c>
      <c r="Y4" s="3" cm="1">
        <f t="array" ref="Y4">SUMPRODUCT(($A$17:$A$614=W4)*($C$17:$C$614&gt;$E$17:$E$614)) +
 SUMPRODUCT(($B$17:$B$614=W4)*($E$17:$E$614&gt;$C$17:$C$614))</f>
        <v>2</v>
      </c>
      <c r="Z4" s="3" cm="1">
        <f t="array" ref="Z4">SUM(($A$17:$A$614=W4)*($C$17:$C$614=$E$17:$E$614)*ISNUMBER($E$17:$E$614),($B$17:$B$614=W4)*($E$17:$E$614=$C$17:$C$614)*ISNUMBER($C$17:$C$614))</f>
        <v>0</v>
      </c>
      <c r="AA4" s="3" cm="1">
        <f t="array" ref="AA4">SUM(($A$17:$A$614=W4)*($C$17:$C$614&lt;$E$17:$E$614),($B$17:$B$614=W4)*($E$17:$E$614&lt;$C$17:$C$614))</f>
        <v>2</v>
      </c>
      <c r="AB4" s="4">
        <f>SUMIF($A$17:$A$614,W4,$C$17:$C$614)+SUMIF($B$17:$B$614,W4,$E$17:$E$614)</f>
        <v>164</v>
      </c>
      <c r="AC4" s="5">
        <f>SUMIF($A$17:$A$614,W4,$E$17:$E$614)+SUMIF($B$17:$B$614,W4,$C$17:$C$614)</f>
        <v>144</v>
      </c>
      <c r="AD4" s="3">
        <f t="shared" ref="AD4" si="0">AB4-AC4</f>
        <v>20</v>
      </c>
      <c r="AE4" s="4">
        <f>Y4*Points!$B$2+Z4*Points!$B$3</f>
        <v>4</v>
      </c>
      <c r="AF4">
        <f t="shared" ref="AF4" si="1">AB4+AD4*10000+AE4*100000000</f>
        <v>400200164</v>
      </c>
      <c r="AG4">
        <f t="shared" ref="AG4:AG7" si="2">AB4/AC4/X4</f>
        <v>0.28472222222222221</v>
      </c>
    </row>
    <row r="5" spans="1:33" x14ac:dyDescent="0.3">
      <c r="A5" s="6" t="s">
        <v>47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Capricorn A</v>
      </c>
      <c r="X5" s="2" cm="1">
        <f t="array" ref="X5">SUM(($A$17:$A$614=W5)*(ISNUMBER($C$17:$C$614)),($B$17:$B$614=W5)*(ISNUMBER($E$17:$E$614)))</f>
        <v>4</v>
      </c>
      <c r="Y5" s="3" cm="1">
        <f t="array" ref="Y5">SUMPRODUCT(($A$17:$A$614=W5)*($C$17:$C$614&gt;$E$17:$E$614)) +
 SUMPRODUCT(($B$17:$B$614=W5)*($E$17:$E$614&gt;$C$17:$C$614))</f>
        <v>1</v>
      </c>
      <c r="Z5" s="3" cm="1">
        <f t="array" ref="Z5">SUM(($A$17:$A$614=W5)*($C$17:$C$614=$E$17:$E$614)*ISNUMBER($E$17:$E$614),($B$17:$B$614=W5)*($E$17:$E$614=$C$17:$C$614)*ISNUMBER($C$17:$C$614))</f>
        <v>0</v>
      </c>
      <c r="AA5" s="3" cm="1">
        <f t="array" ref="AA5">SUM(($A$17:$A$614=W5)*($C$17:$C$614&lt;$E$17:$E$614),($B$17:$B$614=W5)*($E$17:$E$614&lt;$C$17:$C$614))</f>
        <v>3</v>
      </c>
      <c r="AB5" s="4">
        <f>SUMIF($A$17:$A$614,W5,$C$17:$C$614)+SUMIF($B$17:$B$614,W5,$E$17:$E$614)</f>
        <v>117</v>
      </c>
      <c r="AC5" s="5">
        <f>SUMIF($A$17:$A$614,W5,$E$17:$E$614)+SUMIF($B$17:$B$614,W5,$C$17:$C$614)</f>
        <v>139</v>
      </c>
      <c r="AD5" s="3">
        <f>AB5-AC5</f>
        <v>-22</v>
      </c>
      <c r="AE5" s="4">
        <f>Y5*Points!$B$2+Z5*Points!$B$3</f>
        <v>2</v>
      </c>
      <c r="AF5">
        <f>AB5+AD5*10000+AE5*100000000</f>
        <v>199780117</v>
      </c>
      <c r="AG5">
        <f t="shared" si="2"/>
        <v>0.21043165467625899</v>
      </c>
    </row>
    <row r="6" spans="1:33" x14ac:dyDescent="0.3">
      <c r="A6" s="6" t="s">
        <v>37</v>
      </c>
      <c r="H6" s="6" t="str" cm="1">
        <f t="array" ref="H6">INDEX($W$3:$W$7,MATCH(LARGE($AF$3:$AF$7-ROW($AF$3:$AF$7)/COUNT($AF$3:$AF$7),ROW(H6)-ROW(H$6)+1),$AF$3:$AF$7-ROW($AF$3:$AF$7)/COUNT($AF$3:$AF$7),0))</f>
        <v>Johannesburg B</v>
      </c>
      <c r="I6" s="7">
        <f>VLOOKUP($H6,$W$3:$AE$9,2,0)</f>
        <v>4</v>
      </c>
      <c r="J6" s="7">
        <f>VLOOKUP($H6,$W$3:$AE$9,3,0)</f>
        <v>4</v>
      </c>
      <c r="K6" s="7">
        <f>VLOOKUP($H6,$W$3:$AE$9,5,0)</f>
        <v>0</v>
      </c>
      <c r="L6" s="7">
        <f>VLOOKUP($H6,$W$3:$AE$9,4,0)</f>
        <v>0</v>
      </c>
      <c r="M6" s="7">
        <f>VLOOKUP($H6,$W$3:$AE$9,9,0)</f>
        <v>8</v>
      </c>
      <c r="N6" s="7">
        <f>VLOOKUP($H6,$W$3:$AE$9,6,0)</f>
        <v>180</v>
      </c>
      <c r="O6" s="7">
        <f>VLOOKUP($H6,$W$3:$AE$9,7,0)</f>
        <v>148</v>
      </c>
      <c r="P6" s="7">
        <f>VLOOKUP($H6,$W$3:$AE$9,8,0)</f>
        <v>32</v>
      </c>
      <c r="Q6" s="60">
        <f>VLOOKUP($H6,$W$3:$AG$9,11,0)</f>
        <v>0.30405405405405406</v>
      </c>
      <c r="W6" s="1" t="str">
        <f>A7</f>
        <v>Sedibeng A</v>
      </c>
      <c r="X6" s="2" cm="1">
        <f t="array" ref="X6">SUM(($A$17:$A$614=W6)*(ISNUMBER($C$17:$C$614)),($B$17:$B$614=W6)*(ISNUMBER($E$17:$E$614)))</f>
        <v>4</v>
      </c>
      <c r="Y6" s="3" cm="1">
        <f t="array" ref="Y6">SUMPRODUCT(($A$17:$A$614=W6)*($C$17:$C$614&gt;$E$17:$E$614)) +
 SUMPRODUCT(($B$17:$B$614=W6)*($E$17:$E$614&gt;$C$17:$C$614))</f>
        <v>3</v>
      </c>
      <c r="Z6" s="3" cm="1">
        <f t="array" ref="Z6">SUM(($A$17:$A$614=W6)*($C$17:$C$614=$E$17:$E$614)*ISNUMBER($E$17:$E$614),($B$17:$B$614=W6)*($E$17:$E$614=$C$17:$C$614)*ISNUMBER($C$17:$C$614))</f>
        <v>0</v>
      </c>
      <c r="AA6" s="3" cm="1">
        <f t="array" ref="AA6">SUM(($A$17:$A$614=W6)*($C$17:$C$614&lt;$E$17:$E$614),($B$17:$B$614=W6)*($E$17:$E$614&lt;$C$17:$C$614))</f>
        <v>1</v>
      </c>
      <c r="AB6" s="4">
        <f>SUMIF($A$17:$A$614,W6,$C$17:$C$614)+SUMIF($B$17:$B$614,W6,$E$17:$E$614)</f>
        <v>152</v>
      </c>
      <c r="AC6" s="5">
        <f>SUMIF($A$17:$A$614,W6,$E$17:$E$614)+SUMIF($B$17:$B$614,W6,$C$17:$C$614)</f>
        <v>114</v>
      </c>
      <c r="AD6" s="3">
        <f t="shared" ref="AD6:AD7" si="3">AB6-AC6</f>
        <v>38</v>
      </c>
      <c r="AE6" s="4">
        <f>Y6*Points!$B$2+Z6*Points!$B$3</f>
        <v>6</v>
      </c>
      <c r="AF6">
        <f t="shared" ref="AF6:AF7" si="4">AB6+AD6*10000+AE6*100000000</f>
        <v>600380152</v>
      </c>
      <c r="AG6">
        <f t="shared" si="2"/>
        <v>0.33333333333333331</v>
      </c>
    </row>
    <row r="7" spans="1:33" x14ac:dyDescent="0.3">
      <c r="A7" s="6" t="s">
        <v>125</v>
      </c>
      <c r="H7" s="6" t="str" cm="1">
        <f t="array" ref="H7">INDEX($W$3:$W$7,MATCH(LARGE($AF$3:$AF$7-ROW($AF$3:$AF$7)/COUNT($AF$3:$AF$7),ROW(H7)-ROW(H$6)+1),$AF$3:$AF$7-ROW($AF$3:$AF$7)/COUNT($AF$3:$AF$7),0))</f>
        <v>Sedibeng A</v>
      </c>
      <c r="I7" s="7">
        <f>VLOOKUP($H7,$W$3:$AE$9,2,0)</f>
        <v>4</v>
      </c>
      <c r="J7" s="7">
        <f>VLOOKUP($H7,$W$3:$AE$9,3,0)</f>
        <v>3</v>
      </c>
      <c r="K7" s="7">
        <f>VLOOKUP($H7,$W$3:$AE$9,5,0)</f>
        <v>1</v>
      </c>
      <c r="L7" s="7">
        <f>VLOOKUP($H7,$W$3:$AE$9,4,0)</f>
        <v>0</v>
      </c>
      <c r="M7" s="7">
        <f>VLOOKUP($H7,$W$3:$AE$9,9,0)</f>
        <v>6</v>
      </c>
      <c r="N7" s="7">
        <f>VLOOKUP($H7,$W$3:$AE$9,6,0)</f>
        <v>152</v>
      </c>
      <c r="O7" s="7">
        <f>VLOOKUP($H7,$W$3:$AE$9,7,0)</f>
        <v>114</v>
      </c>
      <c r="P7" s="7">
        <f>VLOOKUP($H7,$W$3:$AE$9,8,0)</f>
        <v>38</v>
      </c>
      <c r="Q7" s="60">
        <f t="shared" ref="Q7:Q10" si="5">VLOOKUP($H7,$W$3:$AG$9,11,0)</f>
        <v>0.33333333333333331</v>
      </c>
      <c r="W7" s="1" t="str">
        <f>A8</f>
        <v>Zululand</v>
      </c>
      <c r="X7" s="2" cm="1">
        <f t="array" ref="X7">SUM(($A$17:$A$614=W7)*(ISNUMBER($C$17:$C$614)),($B$17:$B$614=W7)*(ISNUMBER($E$17:$E$614)))</f>
        <v>4</v>
      </c>
      <c r="Y7" s="3" cm="1">
        <f t="array" ref="Y7">SUMPRODUCT(($A$17:$A$614=W7)*($C$17:$C$614&gt;$E$17:$E$614)) +
 SUMPRODUCT(($B$17:$B$614=W7)*($E$17:$E$614&gt;$C$17:$C$614))</f>
        <v>0</v>
      </c>
      <c r="Z7" s="3" cm="1">
        <f t="array" ref="Z7">SUM(($A$17:$A$614=W7)*($C$17:$C$614=$E$17:$E$614)*ISNUMBER($E$17:$E$614),($B$17:$B$614=W7)*($E$17:$E$614=$C$17:$C$614)*ISNUMBER($C$17:$C$614))</f>
        <v>0</v>
      </c>
      <c r="AA7" s="3" cm="1">
        <f t="array" ref="AA7">SUM(($A$17:$A$614=W7)*($C$17:$C$614&lt;$E$17:$E$614),($B$17:$B$614=W7)*($E$17:$E$614&lt;$C$17:$C$614))</f>
        <v>4</v>
      </c>
      <c r="AB7" s="4">
        <f>SUMIF($A$17:$A$614,W7,$C$17:$C$614)+SUMIF($B$17:$B$614,W7,$E$17:$E$614)</f>
        <v>118</v>
      </c>
      <c r="AC7" s="5">
        <f>SUMIF($A$17:$A$614,W7,$E$17:$E$614)+SUMIF($B$17:$B$614,W7,$C$17:$C$614)</f>
        <v>186</v>
      </c>
      <c r="AD7" s="3">
        <f t="shared" si="3"/>
        <v>-68</v>
      </c>
      <c r="AE7" s="4">
        <f>Y7*Points!$B$2+Z7*Points!$B$3</f>
        <v>0</v>
      </c>
      <c r="AF7">
        <f t="shared" si="4"/>
        <v>-679882</v>
      </c>
      <c r="AG7">
        <f t="shared" si="2"/>
        <v>0.15860215053763441</v>
      </c>
    </row>
    <row r="8" spans="1:33" x14ac:dyDescent="0.3">
      <c r="A8" s="6" t="s">
        <v>76</v>
      </c>
      <c r="H8" s="6" t="str" cm="1">
        <f t="array" ref="H8">INDEX($W$3:$W$7,MATCH(LARGE($AF$3:$AF$7-ROW($AF$3:$AF$7)/COUNT($AF$3:$AF$7),ROW(H8)-ROW(H$6)+1),$AF$3:$AF$7-ROW($AF$3:$AF$7)/COUNT($AF$3:$AF$7),0))</f>
        <v>NMB</v>
      </c>
      <c r="I8" s="7">
        <f>VLOOKUP($H8,$W$3:$AE$9,2,0)</f>
        <v>4</v>
      </c>
      <c r="J8" s="7">
        <f>VLOOKUP($H8,$W$3:$AE$9,3,0)</f>
        <v>2</v>
      </c>
      <c r="K8" s="7">
        <f>VLOOKUP($H8,$W$3:$AE$9,5,0)</f>
        <v>2</v>
      </c>
      <c r="L8" s="7">
        <f>VLOOKUP($H8,$W$3:$AE$9,4,0)</f>
        <v>0</v>
      </c>
      <c r="M8" s="7">
        <f>VLOOKUP($H8,$W$3:$AE$9,9,0)</f>
        <v>4</v>
      </c>
      <c r="N8" s="7">
        <f>VLOOKUP($H8,$W$3:$AE$9,6,0)</f>
        <v>164</v>
      </c>
      <c r="O8" s="7">
        <f>VLOOKUP($H8,$W$3:$AE$9,7,0)</f>
        <v>144</v>
      </c>
      <c r="P8" s="7">
        <f>VLOOKUP($H8,$W$3:$AE$9,8,0)</f>
        <v>20</v>
      </c>
      <c r="Q8" s="60">
        <f t="shared" si="5"/>
        <v>0.28472222222222221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A9" s="6"/>
      <c r="H9" s="6" t="str" cm="1">
        <f t="array" ref="H9">INDEX($W$3:$W$7,MATCH(LARGE($AF$3:$AF$7-ROW($AF$3:$AF$7)/COUNT($AF$3:$AF$7),ROW(H9)-ROW(H$6)+1),$AF$3:$AF$7-ROW($AF$3:$AF$7)/COUNT($AF$3:$AF$7),0))</f>
        <v>Capricorn A</v>
      </c>
      <c r="I9" s="7">
        <f>VLOOKUP($H9,$W$3:$AE$9,2,0)</f>
        <v>4</v>
      </c>
      <c r="J9" s="7">
        <f>VLOOKUP($H9,$W$3:$AE$9,3,0)</f>
        <v>1</v>
      </c>
      <c r="K9" s="7">
        <f>VLOOKUP($H9,$W$3:$AE$9,5,0)</f>
        <v>3</v>
      </c>
      <c r="L9" s="7">
        <f>VLOOKUP($H9,$W$3:$AE$9,4,0)</f>
        <v>0</v>
      </c>
      <c r="M9" s="7">
        <f>VLOOKUP($H9,$W$3:$AE$9,9,0)</f>
        <v>2</v>
      </c>
      <c r="N9" s="7">
        <f>VLOOKUP($H9,$W$3:$AE$9,6,0)</f>
        <v>117</v>
      </c>
      <c r="O9" s="7">
        <f>VLOOKUP($H9,$W$3:$AE$9,7,0)</f>
        <v>139</v>
      </c>
      <c r="P9" s="7">
        <f>VLOOKUP($H9,$W$3:$AE$9,8,0)</f>
        <v>-22</v>
      </c>
      <c r="Q9" s="60">
        <f t="shared" si="5"/>
        <v>0.21043165467625899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 s="6" t="str" cm="1">
        <f t="array" ref="H10">INDEX($W$3:$W$7,MATCH(LARGE($AF$3:$AF$7-ROW($AF$3:$AF$7)/COUNT($AF$3:$AF$7),ROW(H10)-ROW(H$6)+1),$AF$3:$AF$7-ROW($AF$3:$AF$7)/COUNT($AF$3:$AF$7),0))</f>
        <v>Zululand</v>
      </c>
      <c r="I10" s="7">
        <f>VLOOKUP($H10,$W$3:$AE$9,2,0)</f>
        <v>4</v>
      </c>
      <c r="J10" s="7">
        <f>VLOOKUP($H10,$W$3:$AE$9,3,0)</f>
        <v>0</v>
      </c>
      <c r="K10" s="7">
        <f>VLOOKUP($H10,$W$3:$AE$9,5,0)</f>
        <v>4</v>
      </c>
      <c r="L10" s="7">
        <f>VLOOKUP($H10,$W$3:$AE$9,4,0)</f>
        <v>0</v>
      </c>
      <c r="M10" s="7">
        <f>VLOOKUP($H10,$W$3:$AE$9,9,0)</f>
        <v>0</v>
      </c>
      <c r="N10" s="7">
        <f>VLOOKUP($H10,$W$3:$AE$9,6,0)</f>
        <v>118</v>
      </c>
      <c r="O10" s="7">
        <f>VLOOKUP($H10,$W$3:$AE$9,7,0)</f>
        <v>186</v>
      </c>
      <c r="P10" s="7">
        <f>VLOOKUP($H10,$W$3:$AE$9,8,0)</f>
        <v>-68</v>
      </c>
      <c r="Q10" s="60">
        <f t="shared" si="5"/>
        <v>0.15860215053763441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2" x14ac:dyDescent="0.3">
      <c r="A17" s="21" t="s">
        <v>36</v>
      </c>
      <c r="B17" s="22" t="s">
        <v>76</v>
      </c>
      <c r="C17" s="23">
        <v>58</v>
      </c>
      <c r="D17" s="23" t="s">
        <v>16</v>
      </c>
      <c r="E17" s="24">
        <v>49</v>
      </c>
      <c r="F17" s="3"/>
      <c r="H17"/>
      <c r="I17"/>
      <c r="J17" s="3"/>
      <c r="K17" s="3"/>
      <c r="L17" s="3"/>
    </row>
    <row r="18" spans="1:12" ht="15" thickBot="1" x14ac:dyDescent="0.35">
      <c r="A18" s="27" t="s">
        <v>37</v>
      </c>
      <c r="B18" s="28" t="s">
        <v>125</v>
      </c>
      <c r="C18" s="29">
        <v>28</v>
      </c>
      <c r="D18" s="29" t="s">
        <v>16</v>
      </c>
      <c r="E18" s="30">
        <v>34</v>
      </c>
      <c r="F18" s="3"/>
    </row>
    <row r="19" spans="1:12" x14ac:dyDescent="0.3">
      <c r="F19" s="3"/>
      <c r="H19"/>
      <c r="I19"/>
    </row>
    <row r="20" spans="1:12" x14ac:dyDescent="0.3">
      <c r="F20" s="3"/>
      <c r="H20"/>
      <c r="I20"/>
    </row>
    <row r="21" spans="1:12" ht="15" thickBot="1" x14ac:dyDescent="0.35">
      <c r="A21" s="20" t="s">
        <v>104</v>
      </c>
      <c r="F21" s="3"/>
      <c r="H21"/>
      <c r="I21"/>
    </row>
    <row r="22" spans="1:12" x14ac:dyDescent="0.3">
      <c r="A22" s="21" t="s">
        <v>125</v>
      </c>
      <c r="B22" s="22" t="s">
        <v>76</v>
      </c>
      <c r="C22" s="23">
        <v>48</v>
      </c>
      <c r="D22" s="23" t="s">
        <v>16</v>
      </c>
      <c r="E22" s="24">
        <v>12</v>
      </c>
      <c r="H22"/>
      <c r="I22"/>
      <c r="J22" s="3"/>
      <c r="K22" s="3"/>
      <c r="L22" s="3"/>
    </row>
    <row r="23" spans="1:12" ht="15" thickBot="1" x14ac:dyDescent="0.35">
      <c r="A23" s="27" t="s">
        <v>47</v>
      </c>
      <c r="B23" s="28" t="s">
        <v>36</v>
      </c>
      <c r="C23" s="29">
        <v>39</v>
      </c>
      <c r="D23" s="29" t="str">
        <f>D18</f>
        <v>:</v>
      </c>
      <c r="E23" s="30">
        <v>45</v>
      </c>
    </row>
    <row r="26" spans="1:12" ht="15" thickBot="1" x14ac:dyDescent="0.35">
      <c r="A26" s="20" t="s">
        <v>141</v>
      </c>
    </row>
    <row r="27" spans="1:12" x14ac:dyDescent="0.3">
      <c r="A27" s="21" t="s">
        <v>125</v>
      </c>
      <c r="B27" s="22" t="s">
        <v>36</v>
      </c>
      <c r="C27" s="23">
        <v>38</v>
      </c>
      <c r="D27" s="23" t="s">
        <v>16</v>
      </c>
      <c r="E27" s="24">
        <v>43</v>
      </c>
      <c r="H27"/>
      <c r="I27"/>
      <c r="J27" s="3"/>
      <c r="K27" s="3"/>
      <c r="L27" s="3"/>
    </row>
    <row r="28" spans="1:12" ht="15" thickBot="1" x14ac:dyDescent="0.35">
      <c r="A28" s="27" t="s">
        <v>47</v>
      </c>
      <c r="B28" s="27" t="s">
        <v>37</v>
      </c>
      <c r="C28" s="29">
        <v>46</v>
      </c>
      <c r="D28" s="29" t="s">
        <v>16</v>
      </c>
      <c r="E28" s="30">
        <v>35</v>
      </c>
    </row>
    <row r="31" spans="1:12" ht="15" thickBot="1" x14ac:dyDescent="0.35">
      <c r="A31" s="20" t="s">
        <v>145</v>
      </c>
    </row>
    <row r="32" spans="1:12" x14ac:dyDescent="0.3">
      <c r="A32" s="21" t="s">
        <v>36</v>
      </c>
      <c r="B32" s="22" t="s">
        <v>37</v>
      </c>
      <c r="C32" s="23">
        <v>34</v>
      </c>
      <c r="D32" s="23" t="s">
        <v>16</v>
      </c>
      <c r="E32" s="24">
        <v>22</v>
      </c>
    </row>
    <row r="33" spans="1:12" x14ac:dyDescent="0.3">
      <c r="A33" s="25" t="s">
        <v>47</v>
      </c>
      <c r="B33" s="6" t="s">
        <v>76</v>
      </c>
      <c r="C33" s="7">
        <v>48</v>
      </c>
      <c r="D33" s="7" t="s">
        <v>16</v>
      </c>
      <c r="E33" s="26">
        <v>32</v>
      </c>
    </row>
    <row r="34" spans="1:12" x14ac:dyDescent="0.3">
      <c r="A34" s="25" t="s">
        <v>125</v>
      </c>
      <c r="B34" s="6" t="s">
        <v>47</v>
      </c>
      <c r="C34" s="7">
        <v>32</v>
      </c>
      <c r="D34" s="7" t="s">
        <v>16</v>
      </c>
      <c r="E34" s="26">
        <v>31</v>
      </c>
    </row>
    <row r="35" spans="1:12" ht="15" thickBot="1" x14ac:dyDescent="0.35">
      <c r="A35" s="27" t="s">
        <v>37</v>
      </c>
      <c r="B35" s="28" t="s">
        <v>76</v>
      </c>
      <c r="C35" s="29">
        <v>32</v>
      </c>
      <c r="D35" s="29" t="s">
        <v>16</v>
      </c>
      <c r="E35" s="30">
        <v>25</v>
      </c>
    </row>
    <row r="36" spans="1:12" x14ac:dyDescent="0.3">
      <c r="H36" s="41"/>
      <c r="I36"/>
    </row>
    <row r="37" spans="1:12" x14ac:dyDescent="0.3">
      <c r="G37" s="42"/>
      <c r="H37"/>
      <c r="I37"/>
      <c r="J37" s="3"/>
      <c r="K37" s="3"/>
      <c r="L37" s="3"/>
    </row>
    <row r="38" spans="1:12" x14ac:dyDescent="0.3">
      <c r="H38"/>
      <c r="I38"/>
      <c r="J38" s="3"/>
      <c r="K38" s="3"/>
      <c r="L38" s="3"/>
    </row>
    <row r="39" spans="1:12" x14ac:dyDescent="0.3">
      <c r="H39"/>
      <c r="I39"/>
      <c r="J39" s="3"/>
      <c r="K39" s="3"/>
      <c r="L39" s="3"/>
    </row>
    <row r="40" spans="1:12" x14ac:dyDescent="0.3">
      <c r="H40"/>
      <c r="I40"/>
      <c r="J40" s="3"/>
      <c r="K40" s="3"/>
      <c r="L40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783C-E167-455C-9E9D-0A86CDA62BB6}">
  <sheetPr codeName="Sheet20">
    <tabColor rgb="FF960096"/>
  </sheetPr>
  <dimension ref="A1:AG49"/>
  <sheetViews>
    <sheetView topLeftCell="F1" workbookViewId="0">
      <selection activeCell="H12" sqref="H10:H12"/>
    </sheetView>
  </sheetViews>
  <sheetFormatPr defaultRowHeight="14.4" x14ac:dyDescent="0.3"/>
  <cols>
    <col min="1" max="1" width="23.44140625" bestFit="1" customWidth="1"/>
    <col min="2" max="2" width="16.5546875" bestFit="1" customWidth="1"/>
    <col min="3" max="3" width="4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9" width="16.554687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4.6640625" bestFit="1" customWidth="1"/>
    <col min="17" max="17" width="9" bestFit="1" customWidth="1"/>
    <col min="21" max="21" width="11.44140625" customWidth="1"/>
    <col min="23" max="23" width="17.2187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9" width="4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45" t="s">
        <v>48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Johannesburg A</v>
      </c>
      <c r="X3" s="2" cm="1">
        <f t="array" ref="X3">SUM(($A$17:$A$620=W3)*(ISNUMBER($C$17:$C$620)),($B$17:$B$620=W3)*(ISNUMBER($E$17:$E$620)))</f>
        <v>6</v>
      </c>
      <c r="Y3" s="3" cm="1">
        <f t="array" ref="Y3">SUMPRODUCT(($A$17:$A$620=W3)*($C$17:$C$620&gt;$E$17:$E$620)) +
 SUMPRODUCT(($B$17:$B$620=W3)*($E$17:$E$620&gt;$C$17:$C$620))</f>
        <v>6</v>
      </c>
      <c r="Z3" s="3" cm="1">
        <f t="array" ref="Z3">SUM(($A$17:$A$620=W3)*($C$17:$C$620=$E$17:$E$620)*ISNUMBER($E$17:$E$620),($B$17:$B$620=W3)*($E$17:$E$620=$C$17:$C$620)*ISNUMBER($C$17:$C$620))</f>
        <v>0</v>
      </c>
      <c r="AA3" s="3" cm="1">
        <f t="array" ref="AA3">SUM(($A$17:$A$620=W3)*($C$17:$C$620&lt;$E$17:$E$620),($B$17:$B$620=W3)*($E$17:$E$620&lt;$C$17:$C$620))</f>
        <v>0</v>
      </c>
      <c r="AB3" s="4">
        <f t="shared" ref="AB3:AB9" si="0">SUMIF($A$17:$A$620,W3,$C$17:$C$620)+SUMIF($B$17:$B$620,W3,$E$17:$E$620)</f>
        <v>316</v>
      </c>
      <c r="AC3" s="5">
        <f t="shared" ref="AC3:AC9" si="1">SUMIF($A$17:$A$620,W3,$E$17:$E$620)+SUMIF($B$17:$B$620,W3,$C$17:$C$620)</f>
        <v>195</v>
      </c>
      <c r="AD3" s="3">
        <f>AB3-AC3</f>
        <v>121</v>
      </c>
      <c r="AE3" s="4">
        <f>Y3*Points!$B$2+Z3*Points!$B$3</f>
        <v>12</v>
      </c>
      <c r="AF3">
        <f>AB3+AD3*10000+AE3*100000000+AG3*1000000</f>
        <v>1201480401.4700854</v>
      </c>
      <c r="AG3">
        <f>AB3/AC3/X3</f>
        <v>0.27008547008547007</v>
      </c>
    </row>
    <row r="4" spans="1:33" ht="28.8" x14ac:dyDescent="0.55000000000000004">
      <c r="A4" s="6" t="s">
        <v>49</v>
      </c>
      <c r="H4" s="103" t="s">
        <v>140</v>
      </c>
      <c r="I4" s="104"/>
      <c r="J4" s="104"/>
      <c r="K4" s="104"/>
      <c r="L4" s="104"/>
      <c r="M4" s="104"/>
      <c r="N4" s="104"/>
      <c r="O4" s="104"/>
      <c r="P4" s="104"/>
      <c r="Q4" s="104"/>
      <c r="W4" s="1" t="str">
        <f>A5</f>
        <v>Tshwane A</v>
      </c>
      <c r="X4" s="2" cm="1">
        <f t="array" ref="X4">SUM(($A$17:$A$620=W4)*(ISNUMBER($C$17:$C$620)),($B$17:$B$620=W4)*(ISNUMBER($E$17:$E$620)))</f>
        <v>6</v>
      </c>
      <c r="Y4" s="3" cm="1">
        <f t="array" ref="Y4">SUMPRODUCT(($A$17:$A$620=W4)*($C$17:$C$620&gt;$E$17:$E$620)) +
 SUMPRODUCT(($B$17:$B$620=W4)*($E$17:$E$620&gt;$C$17:$C$620))</f>
        <v>4</v>
      </c>
      <c r="Z4" s="3" cm="1">
        <f t="array" ref="Z4">SUM(($A$17:$A$620=W4)*($C$17:$C$620=$E$17:$E$620)*ISNUMBER($E$17:$E$620),($B$17:$B$620=W4)*($E$17:$E$620=$C$17:$C$620)*ISNUMBER($C$17:$C$620))</f>
        <v>0</v>
      </c>
      <c r="AA4" s="3" cm="1">
        <f t="array" ref="AA4">SUM(($A$17:$A$620=W4)*($C$17:$C$620&lt;$E$17:$E$620),($B$17:$B$620=W4)*($E$17:$E$620&lt;$C$17:$C$620))</f>
        <v>2</v>
      </c>
      <c r="AB4" s="4">
        <f t="shared" si="0"/>
        <v>295</v>
      </c>
      <c r="AC4" s="5">
        <f t="shared" si="1"/>
        <v>250</v>
      </c>
      <c r="AD4" s="3">
        <f t="shared" ref="AD4" si="2">AB4-AC4</f>
        <v>45</v>
      </c>
      <c r="AE4" s="4">
        <f>Y4*Points!$B$2+Z4*Points!$B$3</f>
        <v>8</v>
      </c>
      <c r="AF4">
        <f>AB4+AD4*10000+AE4*100000000+AG4*1000000</f>
        <v>800646961.66666663</v>
      </c>
      <c r="AG4">
        <f t="shared" ref="AG4:AG8" si="3">AB4/AC4/X4</f>
        <v>0.19666666666666666</v>
      </c>
    </row>
    <row r="5" spans="1:33" x14ac:dyDescent="0.3">
      <c r="A5" s="6" t="s">
        <v>50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Dr Kenneth Kaunda</v>
      </c>
      <c r="X5" s="2" cm="1">
        <f t="array" ref="X5">SUM(($A$17:$A$620=W5)*(ISNUMBER($C$17:$C$620)),($B$17:$B$620=W5)*(ISNUMBER($E$17:$E$620)))</f>
        <v>6</v>
      </c>
      <c r="Y5" s="3" cm="1">
        <f t="array" ref="Y5">SUMPRODUCT(($A$17:$A$620=W5)*($C$17:$C$620&gt;$E$17:$E$620)) +
 SUMPRODUCT(($B$17:$B$620=W5)*($E$17:$E$620&gt;$C$17:$C$620))</f>
        <v>0</v>
      </c>
      <c r="Z5" s="3" cm="1">
        <f t="array" ref="Z5">SUM(($A$17:$A$620=W5)*($C$17:$C$620=$E$17:$E$620)*ISNUMBER($E$17:$E$620),($B$17:$B$620=W5)*($E$17:$E$620=$C$17:$C$620)*ISNUMBER($C$17:$C$620))</f>
        <v>1</v>
      </c>
      <c r="AA5" s="3" cm="1">
        <f t="array" ref="AA5">SUM(($A$17:$A$620=W5)*($C$17:$C$620&lt;$E$17:$E$620),($B$17:$B$620=W5)*($E$17:$E$620&lt;$C$17:$C$620))</f>
        <v>5</v>
      </c>
      <c r="AB5" s="4">
        <f t="shared" si="0"/>
        <v>204</v>
      </c>
      <c r="AC5" s="5">
        <f t="shared" si="1"/>
        <v>287</v>
      </c>
      <c r="AD5" s="3">
        <f>AB5-AC5</f>
        <v>-83</v>
      </c>
      <c r="AE5" s="4">
        <f>Y5*Points!$B$2+Z5*Points!$B$3</f>
        <v>1</v>
      </c>
      <c r="AF5">
        <f t="shared" ref="AF5:AF9" si="4">AB5+AD5*10000+AE5*100000000+AG5*1000000</f>
        <v>99288670.898954704</v>
      </c>
      <c r="AG5">
        <f t="shared" si="3"/>
        <v>0.11846689895470384</v>
      </c>
    </row>
    <row r="6" spans="1:33" x14ac:dyDescent="0.3">
      <c r="A6" s="6" t="s">
        <v>51</v>
      </c>
      <c r="H6" s="6" t="str" cm="1">
        <f t="array" ref="H6">INDEX($W$3:$W$9,MATCH(LARGE($AF$3:$AF$9-ROW($AF$3:$AF$9)/COUNT($AF$3:$AF$9),ROW(H6)-ROW(H$6)+1),$AF$3:$AF$9-ROW($AF$3:$AF$9)/COUNT($AF$3:$AF$9),0))</f>
        <v>Johannesburg A</v>
      </c>
      <c r="I6" s="7">
        <f>VLOOKUP($H6,$W$3:$AE$9,2,0)</f>
        <v>6</v>
      </c>
      <c r="J6" s="7">
        <f>VLOOKUP($H6,$W$3:$AE$9,3,0)</f>
        <v>6</v>
      </c>
      <c r="K6" s="7">
        <f>VLOOKUP($H6,$W$3:$AE$9,5,0)</f>
        <v>0</v>
      </c>
      <c r="L6" s="7">
        <f>VLOOKUP($H6,$W$3:$AE$9,4,0)</f>
        <v>0</v>
      </c>
      <c r="M6" s="7">
        <f>VLOOKUP($H6,$W$3:$AE$9,9,0)</f>
        <v>12</v>
      </c>
      <c r="N6" s="7">
        <f>VLOOKUP($H6,$W$3:$AE$9,6,0)</f>
        <v>316</v>
      </c>
      <c r="O6" s="7">
        <f>VLOOKUP($H6,$W$3:$AE$10,7,0)</f>
        <v>195</v>
      </c>
      <c r="P6" s="7">
        <f>VLOOKUP($H6,$W$3:$AE$9,8,0)</f>
        <v>121</v>
      </c>
      <c r="Q6" s="60">
        <f>VLOOKUP($H6,$W$3:$AG$9,11,0)</f>
        <v>0.27008547008547007</v>
      </c>
      <c r="W6" s="1" t="str">
        <f t="shared" ref="W6:W8" si="5">A7</f>
        <v>Cape Town A</v>
      </c>
      <c r="X6" s="2" cm="1">
        <f t="array" ref="X6">SUM(($A$17:$A$620=W6)*(ISNUMBER($C$17:$C$620)),($B$17:$B$620=W6)*(ISNUMBER($E$17:$E$620)))</f>
        <v>6</v>
      </c>
      <c r="Y6" s="3" cm="1">
        <f t="array" ref="Y6">SUMPRODUCT(($A$17:$A$620=W6)*($C$17:$C$620&gt;$E$17:$E$620)) +
 SUMPRODUCT(($B$17:$B$620=W6)*($E$17:$E$620&gt;$C$17:$C$620))</f>
        <v>2</v>
      </c>
      <c r="Z6" s="3" cm="1">
        <f t="array" ref="Z6">SUM(($A$17:$A$620=W6)*($C$17:$C$620=$E$17:$E$620)*ISNUMBER($E$17:$E$620),($B$17:$B$620=W6)*($E$17:$E$620=$C$17:$C$620)*ISNUMBER($C$17:$C$620))</f>
        <v>0</v>
      </c>
      <c r="AA6" s="3" cm="1">
        <f t="array" ref="AA6">SUM(($A$17:$A$620=W6)*($C$17:$C$620&lt;$E$17:$E$620),($B$17:$B$620=W6)*($E$17:$E$620&lt;$C$17:$C$620))</f>
        <v>4</v>
      </c>
      <c r="AB6" s="4">
        <f t="shared" si="0"/>
        <v>251</v>
      </c>
      <c r="AC6" s="5">
        <f t="shared" si="1"/>
        <v>272</v>
      </c>
      <c r="AD6" s="3">
        <f t="shared" ref="AD6:AD8" si="6">AB6-AC6</f>
        <v>-21</v>
      </c>
      <c r="AE6" s="4">
        <f>Y6*Points!$B$2+Z6*Points!$B$3</f>
        <v>4</v>
      </c>
      <c r="AF6">
        <f t="shared" si="4"/>
        <v>399944050.01960784</v>
      </c>
      <c r="AG6">
        <f t="shared" si="3"/>
        <v>0.15379901960784315</v>
      </c>
    </row>
    <row r="7" spans="1:33" x14ac:dyDescent="0.3">
      <c r="A7" s="6" t="s">
        <v>52</v>
      </c>
      <c r="H7" s="6" t="str" cm="1">
        <f t="array" ref="H7">INDEX($W$3:$W$9,MATCH(LARGE($AF$3:$AF$9-ROW($AF$3:$AF$9)/COUNT($AF$3:$AF$9),ROW(H7)-ROW(H$6)+1),$AF$3:$AF$9-ROW($AF$3:$AF$9)/COUNT($AF$3:$AF$9),0))</f>
        <v>Mangaung</v>
      </c>
      <c r="I7" s="7">
        <f t="shared" ref="I7:I12" si="7">VLOOKUP($H7,$W$3:$AE$9,2,0)</f>
        <v>6</v>
      </c>
      <c r="J7" s="7">
        <f t="shared" ref="J7:J12" si="8">VLOOKUP($H7,$W$3:$AE$9,3,0)</f>
        <v>5</v>
      </c>
      <c r="K7" s="7">
        <f t="shared" ref="K7:K12" si="9">VLOOKUP($H7,$W$3:$AE$9,5,0)</f>
        <v>1</v>
      </c>
      <c r="L7" s="7">
        <f t="shared" ref="L7:L12" si="10">VLOOKUP($H7,$W$3:$AE$9,4,0)</f>
        <v>0</v>
      </c>
      <c r="M7" s="7">
        <f t="shared" ref="M7:M12" si="11">VLOOKUP($H7,$W$3:$AE$9,9,0)</f>
        <v>10</v>
      </c>
      <c r="N7" s="7">
        <f t="shared" ref="N7:N12" si="12">VLOOKUP($H7,$W$3:$AE$9,6,0)</f>
        <v>276</v>
      </c>
      <c r="O7" s="7">
        <f t="shared" ref="O7:O12" si="13">VLOOKUP($H7,$W$3:$AE$10,7,0)</f>
        <v>219</v>
      </c>
      <c r="P7" s="7">
        <f t="shared" ref="P7:P12" si="14">VLOOKUP($H7,$W$3:$AE$9,8,0)</f>
        <v>57</v>
      </c>
      <c r="Q7" s="60">
        <f t="shared" ref="Q7:Q12" si="15">VLOOKUP($H7,$W$3:$AG$9,11,0)</f>
        <v>0.21004566210045661</v>
      </c>
      <c r="W7" s="1" t="str">
        <f t="shared" si="5"/>
        <v>Ekhurleni A</v>
      </c>
      <c r="X7" s="2" cm="1">
        <f t="array" ref="X7">SUM(($A$17:$A$620=W7)*(ISNUMBER($C$17:$C$620)),($B$17:$B$620=W7)*(ISNUMBER($E$17:$E$620)))</f>
        <v>6</v>
      </c>
      <c r="Y7" s="3" cm="1">
        <f t="array" ref="Y7">SUMPRODUCT(($A$17:$A$620=W7)*($C$17:$C$620&gt;$E$17:$E$620)) +
 SUMPRODUCT(($B$17:$B$620=W7)*($E$17:$E$620&gt;$C$17:$C$620))</f>
        <v>0</v>
      </c>
      <c r="Z7" s="3" cm="1">
        <f t="array" ref="Z7">SUM(($A$17:$A$620=W7)*($C$17:$C$620=$E$17:$E$620)*ISNUMBER($E$17:$E$620),($B$17:$B$620=W7)*($E$17:$E$620=$C$17:$C$620)*ISNUMBER($C$17:$C$620))</f>
        <v>1</v>
      </c>
      <c r="AA7" s="3" cm="1">
        <f t="array" ref="AA7">SUM(($A$17:$A$620=W7)*($C$17:$C$620&lt;$E$17:$E$620),($B$17:$B$620=W7)*($E$17:$E$620&lt;$C$17:$C$620))</f>
        <v>5</v>
      </c>
      <c r="AB7" s="4">
        <f t="shared" si="0"/>
        <v>194</v>
      </c>
      <c r="AC7" s="5">
        <f t="shared" si="1"/>
        <v>294</v>
      </c>
      <c r="AD7" s="3">
        <f t="shared" si="6"/>
        <v>-100</v>
      </c>
      <c r="AE7" s="4">
        <f>Y7*Points!$B$2+Z7*Points!$B$3</f>
        <v>1</v>
      </c>
      <c r="AF7">
        <f>AB7+AD7*10000+AE7*100000000+AG7*1000000</f>
        <v>99110171.324263036</v>
      </c>
      <c r="AG7">
        <f t="shared" si="3"/>
        <v>0.10997732426303854</v>
      </c>
    </row>
    <row r="8" spans="1:33" x14ac:dyDescent="0.3">
      <c r="A8" s="6" t="s">
        <v>53</v>
      </c>
      <c r="H8" s="6" t="str" cm="1">
        <f t="array" ref="H8">INDEX($W$3:$W$9,MATCH(LARGE($AF$3:$AF$9-ROW($AF$3:$AF$9)/COUNT($AF$3:$AF$9),ROW(H8)-ROW(H$6)+1),$AF$3:$AF$9-ROW($AF$3:$AF$9)/COUNT($AF$3:$AF$9),0))</f>
        <v>Tshwane A</v>
      </c>
      <c r="I8" s="7">
        <f t="shared" si="7"/>
        <v>6</v>
      </c>
      <c r="J8" s="7">
        <f t="shared" si="8"/>
        <v>4</v>
      </c>
      <c r="K8" s="7">
        <f t="shared" si="9"/>
        <v>2</v>
      </c>
      <c r="L8" s="7">
        <f t="shared" si="10"/>
        <v>0</v>
      </c>
      <c r="M8" s="7">
        <f t="shared" si="11"/>
        <v>8</v>
      </c>
      <c r="N8" s="7">
        <f t="shared" si="12"/>
        <v>295</v>
      </c>
      <c r="O8" s="7">
        <f t="shared" si="13"/>
        <v>250</v>
      </c>
      <c r="P8" s="7">
        <f t="shared" si="14"/>
        <v>45</v>
      </c>
      <c r="Q8" s="60">
        <f t="shared" si="15"/>
        <v>0.19666666666666666</v>
      </c>
      <c r="W8" s="1" t="str">
        <f t="shared" si="5"/>
        <v>Royal Bafokeng</v>
      </c>
      <c r="X8" s="2" cm="1">
        <f t="array" ref="X8">SUM(($A$17:$A$620=W8)*(ISNUMBER($C$17:$C$620)),($B$17:$B$620=W8)*(ISNUMBER($E$17:$E$620)))</f>
        <v>6</v>
      </c>
      <c r="Y8" s="3" cm="1">
        <f t="array" ref="Y8">SUMPRODUCT(($A$17:$A$620=W8)*($C$17:$C$620&gt;$E$17:$E$620)) +
 SUMPRODUCT(($B$17:$B$620=W8)*($E$17:$E$620&gt;$C$17:$C$620))</f>
        <v>3</v>
      </c>
      <c r="Z8" s="3" cm="1">
        <f t="array" ref="Z8">SUM(($A$17:$A$620=W8)*($C$17:$C$620=$E$17:$E$620)*ISNUMBER($E$17:$E$620),($B$17:$B$620=W8)*($E$17:$E$620=$C$17:$C$620)*ISNUMBER($C$17:$C$620))</f>
        <v>0</v>
      </c>
      <c r="AA8" s="3" cm="1">
        <f t="array" ref="AA8">SUM(($A$17:$A$620=W8)*($C$17:$C$620&lt;$E$17:$E$620),($B$17:$B$620=W8)*($E$17:$E$620&lt;$C$17:$C$620))</f>
        <v>3</v>
      </c>
      <c r="AB8" s="4">
        <f t="shared" si="0"/>
        <v>247</v>
      </c>
      <c r="AC8" s="5">
        <f t="shared" si="1"/>
        <v>266</v>
      </c>
      <c r="AD8" s="3">
        <f t="shared" si="6"/>
        <v>-19</v>
      </c>
      <c r="AE8" s="4">
        <f>Y8*Points!$B$2+Z8*Points!$B$3</f>
        <v>6</v>
      </c>
      <c r="AF8">
        <f>AB8+AD8*10000+AE8*100000000+AG8*1000000</f>
        <v>599965008.90476191</v>
      </c>
      <c r="AG8">
        <f t="shared" si="3"/>
        <v>0.15476190476190477</v>
      </c>
    </row>
    <row r="9" spans="1:33" x14ac:dyDescent="0.3">
      <c r="A9" s="6" t="s">
        <v>40</v>
      </c>
      <c r="H9" s="6" t="str" cm="1">
        <f t="array" ref="H9">INDEX($W$3:$W$9,MATCH(LARGE($AF$3:$AF$9-ROW($AF$3:$AF$9)/COUNT($AF$3:$AF$9),ROW(H9)-ROW(H$6)+1),$AF$3:$AF$9-ROW($AF$3:$AF$9)/COUNT($AF$3:$AF$9),0))</f>
        <v>Royal Bafokeng</v>
      </c>
      <c r="I9" s="7">
        <f t="shared" si="7"/>
        <v>6</v>
      </c>
      <c r="J9" s="7">
        <f t="shared" si="8"/>
        <v>3</v>
      </c>
      <c r="K9" s="7">
        <f t="shared" si="9"/>
        <v>3</v>
      </c>
      <c r="L9" s="7">
        <f t="shared" si="10"/>
        <v>0</v>
      </c>
      <c r="M9" s="7">
        <f t="shared" si="11"/>
        <v>6</v>
      </c>
      <c r="N9" s="7">
        <f t="shared" si="12"/>
        <v>247</v>
      </c>
      <c r="O9" s="7">
        <f t="shared" si="13"/>
        <v>266</v>
      </c>
      <c r="P9" s="7">
        <f t="shared" si="14"/>
        <v>-19</v>
      </c>
      <c r="Q9" s="60">
        <f t="shared" si="15"/>
        <v>0.15476190476190477</v>
      </c>
      <c r="W9" s="1" t="str">
        <f t="shared" ref="W9" si="16">A10</f>
        <v>Mangaung</v>
      </c>
      <c r="X9" s="2" cm="1">
        <f t="array" ref="X9">SUM(($A$17:$A$620=W9)*(ISNUMBER($C$17:$C$620)),($B$17:$B$620=W9)*(ISNUMBER($E$17:$E$620)))</f>
        <v>6</v>
      </c>
      <c r="Y9" s="3" cm="1">
        <f t="array" ref="Y9">SUMPRODUCT(($A$17:$A$620=W9)*($C$17:$C$620&gt;$E$17:$E$620)) +
 SUMPRODUCT(($B$17:$B$620=W9)*($E$17:$E$620&gt;$C$17:$C$620))</f>
        <v>5</v>
      </c>
      <c r="Z9" s="3" cm="1">
        <f t="array" ref="Z9">SUM(($A$17:$A$620=W9)*($C$17:$C$620=$E$17:$E$620)*ISNUMBER($E$17:$E$620),($B$17:$B$620=W9)*($E$17:$E$620=$C$17:$C$620)*ISNUMBER($C$17:$C$620))</f>
        <v>0</v>
      </c>
      <c r="AA9" s="3" cm="1">
        <f t="array" ref="AA9">SUM(($A$17:$A$620=W9)*($C$17:$C$620&lt;$E$17:$E$620),($B$17:$B$620=W9)*($E$17:$E$620&lt;$C$17:$C$620))</f>
        <v>1</v>
      </c>
      <c r="AB9" s="4">
        <f t="shared" si="0"/>
        <v>276</v>
      </c>
      <c r="AC9" s="5">
        <f t="shared" si="1"/>
        <v>219</v>
      </c>
      <c r="AD9" s="3">
        <f t="shared" ref="AD9" si="17">AB9-AC9</f>
        <v>57</v>
      </c>
      <c r="AE9" s="4">
        <f>Y9*Points!$B$2+Z9*Points!$B$3</f>
        <v>10</v>
      </c>
      <c r="AF9">
        <f t="shared" si="4"/>
        <v>1000780321.6621004</v>
      </c>
      <c r="AG9">
        <f t="shared" ref="AG9" si="18">AB9/AC9/X9</f>
        <v>0.21004566210045661</v>
      </c>
    </row>
    <row r="10" spans="1:33" x14ac:dyDescent="0.3">
      <c r="A10" s="6" t="s">
        <v>123</v>
      </c>
      <c r="H10" s="6" t="str" cm="1">
        <f t="array" ref="H10">INDEX($W$3:$W$9,MATCH(LARGE($AF$3:$AF$9-ROW($AF$3:$AF$9)/COUNT($AF$3:$AF$9),ROW(H10)-ROW(H$6)+1),$AF$3:$AF$9-ROW($AF$3:$AF$9)/COUNT($AF$3:$AF$9),0))</f>
        <v>Cape Town A</v>
      </c>
      <c r="I10" s="7">
        <f t="shared" si="7"/>
        <v>6</v>
      </c>
      <c r="J10" s="7">
        <f t="shared" si="8"/>
        <v>2</v>
      </c>
      <c r="K10" s="7">
        <f t="shared" si="9"/>
        <v>4</v>
      </c>
      <c r="L10" s="7">
        <f t="shared" si="10"/>
        <v>0</v>
      </c>
      <c r="M10" s="7">
        <f t="shared" si="11"/>
        <v>4</v>
      </c>
      <c r="N10" s="7">
        <f t="shared" si="12"/>
        <v>251</v>
      </c>
      <c r="O10" s="7">
        <f t="shared" si="13"/>
        <v>272</v>
      </c>
      <c r="P10" s="7">
        <f t="shared" si="14"/>
        <v>-21</v>
      </c>
      <c r="Q10" s="60">
        <f t="shared" si="15"/>
        <v>0.15379901960784315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 s="6" t="str" cm="1">
        <f t="array" ref="H11">INDEX($W$3:$W$9,MATCH(LARGE($AF$3:$AF$9-ROW($AF$3:$AF$9)/COUNT($AF$3:$AF$9),ROW(H11)-ROW(H$6)+1),$AF$3:$AF$9-ROW($AF$3:$AF$9)/COUNT($AF$3:$AF$9),0))</f>
        <v>Dr Kenneth Kaunda</v>
      </c>
      <c r="I11" s="7">
        <f t="shared" si="7"/>
        <v>6</v>
      </c>
      <c r="J11" s="7">
        <f t="shared" si="8"/>
        <v>0</v>
      </c>
      <c r="K11" s="7">
        <f t="shared" si="9"/>
        <v>5</v>
      </c>
      <c r="L11" s="7">
        <f t="shared" si="10"/>
        <v>1</v>
      </c>
      <c r="M11" s="7">
        <f t="shared" si="11"/>
        <v>1</v>
      </c>
      <c r="N11" s="7">
        <f t="shared" si="12"/>
        <v>204</v>
      </c>
      <c r="O11" s="7">
        <f t="shared" si="13"/>
        <v>287</v>
      </c>
      <c r="P11" s="7">
        <f t="shared" si="14"/>
        <v>-83</v>
      </c>
      <c r="Q11" s="60">
        <f t="shared" si="15"/>
        <v>0.11846689895470384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 s="6" t="str" cm="1">
        <f t="array" ref="H12">INDEX($W$3:$W$9,MATCH(LARGE($AF$3:$AF$9-ROW($AF$3:$AF$9)/COUNT($AF$3:$AF$9),ROW(H12)-ROW(H$6)+1),$AF$3:$AF$9-ROW($AF$3:$AF$9)/COUNT($AF$3:$AF$9),0))</f>
        <v>Ekhurleni A</v>
      </c>
      <c r="I12" s="7">
        <f t="shared" si="7"/>
        <v>6</v>
      </c>
      <c r="J12" s="7">
        <f t="shared" si="8"/>
        <v>0</v>
      </c>
      <c r="K12" s="7">
        <f t="shared" si="9"/>
        <v>5</v>
      </c>
      <c r="L12" s="7">
        <f t="shared" si="10"/>
        <v>1</v>
      </c>
      <c r="M12" s="7">
        <f t="shared" si="11"/>
        <v>1</v>
      </c>
      <c r="N12" s="7">
        <f t="shared" si="12"/>
        <v>194</v>
      </c>
      <c r="O12" s="7">
        <f t="shared" si="13"/>
        <v>294</v>
      </c>
      <c r="P12" s="7">
        <f t="shared" si="14"/>
        <v>-100</v>
      </c>
      <c r="Q12" s="60">
        <f t="shared" si="15"/>
        <v>0.10997732426303854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2" x14ac:dyDescent="0.3">
      <c r="A17" s="21" t="s">
        <v>49</v>
      </c>
      <c r="B17" s="22" t="s">
        <v>40</v>
      </c>
      <c r="C17" s="23">
        <v>62</v>
      </c>
      <c r="D17" s="23" t="s">
        <v>16</v>
      </c>
      <c r="E17" s="24">
        <v>22</v>
      </c>
      <c r="F17" s="3"/>
      <c r="H17"/>
      <c r="I17"/>
      <c r="J17" s="3"/>
      <c r="K17" s="3"/>
      <c r="L17" s="3"/>
    </row>
    <row r="18" spans="1:12" x14ac:dyDescent="0.3">
      <c r="A18" s="25" t="s">
        <v>51</v>
      </c>
      <c r="B18" s="6" t="s">
        <v>123</v>
      </c>
      <c r="C18" s="7">
        <v>34</v>
      </c>
      <c r="D18" s="7" t="s">
        <v>16</v>
      </c>
      <c r="E18" s="26">
        <v>46</v>
      </c>
      <c r="F18" s="3"/>
      <c r="H18"/>
      <c r="I18"/>
      <c r="J18" s="3"/>
      <c r="K18" s="3"/>
      <c r="L18" s="3"/>
    </row>
    <row r="19" spans="1:12" x14ac:dyDescent="0.3">
      <c r="A19" s="25" t="s">
        <v>50</v>
      </c>
      <c r="B19" s="6" t="s">
        <v>53</v>
      </c>
      <c r="C19" s="7">
        <v>53</v>
      </c>
      <c r="D19" s="7" t="s">
        <v>16</v>
      </c>
      <c r="E19" s="26">
        <v>45</v>
      </c>
      <c r="F19" s="3"/>
    </row>
    <row r="20" spans="1:12" ht="15" thickBot="1" x14ac:dyDescent="0.35">
      <c r="A20" s="27" t="s">
        <v>52</v>
      </c>
      <c r="B20" s="28" t="s">
        <v>40</v>
      </c>
      <c r="C20" s="29">
        <v>41</v>
      </c>
      <c r="D20" s="29" t="s">
        <v>16</v>
      </c>
      <c r="E20" s="30">
        <v>42</v>
      </c>
      <c r="F20" s="3"/>
    </row>
    <row r="21" spans="1:12" x14ac:dyDescent="0.3">
      <c r="F21" s="3"/>
      <c r="H21"/>
      <c r="I21"/>
    </row>
    <row r="22" spans="1:12" x14ac:dyDescent="0.3">
      <c r="F22" s="3"/>
      <c r="H22"/>
      <c r="I22"/>
    </row>
    <row r="23" spans="1:12" ht="15" thickBot="1" x14ac:dyDescent="0.35">
      <c r="A23" s="20" t="s">
        <v>104</v>
      </c>
      <c r="F23" s="3"/>
      <c r="H23"/>
      <c r="I23"/>
    </row>
    <row r="24" spans="1:12" x14ac:dyDescent="0.3">
      <c r="A24" s="21" t="s">
        <v>123</v>
      </c>
      <c r="B24" s="22" t="s">
        <v>50</v>
      </c>
      <c r="C24" s="23">
        <v>45</v>
      </c>
      <c r="D24" s="23" t="str">
        <f>D17</f>
        <v>:</v>
      </c>
      <c r="E24" s="24">
        <v>36</v>
      </c>
      <c r="H24"/>
      <c r="I24"/>
      <c r="J24" s="3"/>
      <c r="K24" s="3"/>
      <c r="L24" s="3"/>
    </row>
    <row r="25" spans="1:12" x14ac:dyDescent="0.3">
      <c r="A25" s="25" t="s">
        <v>53</v>
      </c>
      <c r="B25" s="6" t="s">
        <v>52</v>
      </c>
      <c r="C25" s="7">
        <v>33</v>
      </c>
      <c r="D25" s="7" t="str">
        <f>D18</f>
        <v>:</v>
      </c>
      <c r="E25" s="26">
        <v>51</v>
      </c>
      <c r="H25"/>
      <c r="I25"/>
      <c r="J25" s="3"/>
      <c r="K25" s="3"/>
      <c r="L25" s="3"/>
    </row>
    <row r="26" spans="1:12" x14ac:dyDescent="0.3">
      <c r="A26" s="25" t="s">
        <v>51</v>
      </c>
      <c r="B26" s="6" t="s">
        <v>49</v>
      </c>
      <c r="C26" s="7">
        <v>40</v>
      </c>
      <c r="D26" s="7" t="str">
        <f>D19</f>
        <v>:</v>
      </c>
      <c r="E26" s="26">
        <v>53</v>
      </c>
    </row>
    <row r="27" spans="1:12" x14ac:dyDescent="0.3">
      <c r="A27" s="25" t="s">
        <v>40</v>
      </c>
      <c r="B27" s="6" t="s">
        <v>123</v>
      </c>
      <c r="C27" s="7">
        <v>38</v>
      </c>
      <c r="D27" s="7" t="s">
        <v>16</v>
      </c>
      <c r="E27" s="26">
        <v>42</v>
      </c>
    </row>
    <row r="28" spans="1:12" ht="15" thickBot="1" x14ac:dyDescent="0.35">
      <c r="A28" s="27" t="s">
        <v>52</v>
      </c>
      <c r="B28" s="28" t="s">
        <v>50</v>
      </c>
      <c r="C28" s="29">
        <v>38</v>
      </c>
      <c r="D28" s="29" t="s">
        <v>16</v>
      </c>
      <c r="E28" s="30">
        <v>57</v>
      </c>
    </row>
    <row r="31" spans="1:12" ht="15" thickBot="1" x14ac:dyDescent="0.35">
      <c r="A31" s="20" t="s">
        <v>141</v>
      </c>
    </row>
    <row r="32" spans="1:12" x14ac:dyDescent="0.3">
      <c r="A32" s="21" t="s">
        <v>51</v>
      </c>
      <c r="B32" s="22" t="s">
        <v>40</v>
      </c>
      <c r="C32" s="23">
        <v>32</v>
      </c>
      <c r="D32" s="23" t="s">
        <v>16</v>
      </c>
      <c r="E32" s="24">
        <v>54</v>
      </c>
      <c r="H32"/>
      <c r="I32"/>
      <c r="J32" s="3"/>
      <c r="K32" s="3"/>
      <c r="L32" s="3"/>
    </row>
    <row r="33" spans="1:12" x14ac:dyDescent="0.3">
      <c r="A33" s="25" t="s">
        <v>49</v>
      </c>
      <c r="B33" s="6" t="s">
        <v>123</v>
      </c>
      <c r="C33" s="7">
        <v>47</v>
      </c>
      <c r="D33" s="7" t="s">
        <v>16</v>
      </c>
      <c r="E33" s="26">
        <v>34</v>
      </c>
      <c r="H33"/>
      <c r="I33"/>
      <c r="J33" s="3"/>
      <c r="K33" s="3"/>
      <c r="L33" s="3"/>
    </row>
    <row r="34" spans="1:12" x14ac:dyDescent="0.3">
      <c r="A34" s="25" t="s">
        <v>50</v>
      </c>
      <c r="B34" s="6" t="s">
        <v>51</v>
      </c>
      <c r="C34" s="7">
        <v>57</v>
      </c>
      <c r="D34" s="7" t="s">
        <v>16</v>
      </c>
      <c r="E34" s="26">
        <v>33</v>
      </c>
    </row>
    <row r="35" spans="1:12" x14ac:dyDescent="0.3">
      <c r="A35" s="25" t="s">
        <v>53</v>
      </c>
      <c r="B35" s="6" t="s">
        <v>40</v>
      </c>
      <c r="C35" s="7">
        <v>38</v>
      </c>
      <c r="D35" s="7" t="s">
        <v>16</v>
      </c>
      <c r="E35" s="26">
        <v>51</v>
      </c>
    </row>
    <row r="36" spans="1:12" ht="15" thickBot="1" x14ac:dyDescent="0.35">
      <c r="A36" s="27" t="s">
        <v>52</v>
      </c>
      <c r="B36" s="28" t="s">
        <v>49</v>
      </c>
      <c r="C36" s="29">
        <v>35</v>
      </c>
      <c r="D36" s="29" t="s">
        <v>16</v>
      </c>
      <c r="E36" s="30">
        <v>52</v>
      </c>
    </row>
    <row r="39" spans="1:12" ht="15" thickBot="1" x14ac:dyDescent="0.35">
      <c r="A39" s="20" t="s">
        <v>145</v>
      </c>
    </row>
    <row r="40" spans="1:12" x14ac:dyDescent="0.3">
      <c r="A40" s="21" t="s">
        <v>49</v>
      </c>
      <c r="B40" s="22" t="s">
        <v>53</v>
      </c>
      <c r="C40" s="23">
        <v>53</v>
      </c>
      <c r="D40" s="23" t="s">
        <v>16</v>
      </c>
      <c r="E40" s="24">
        <v>23</v>
      </c>
    </row>
    <row r="41" spans="1:12" x14ac:dyDescent="0.3">
      <c r="A41" s="25" t="s">
        <v>50</v>
      </c>
      <c r="B41" s="6" t="s">
        <v>40</v>
      </c>
      <c r="C41" s="7">
        <v>51</v>
      </c>
      <c r="D41" s="7" t="s">
        <v>16</v>
      </c>
      <c r="E41" s="26">
        <v>40</v>
      </c>
    </row>
    <row r="42" spans="1:12" ht="15" thickBot="1" x14ac:dyDescent="0.35">
      <c r="A42" s="25" t="s">
        <v>123</v>
      </c>
      <c r="B42" s="6" t="s">
        <v>52</v>
      </c>
      <c r="C42" s="7">
        <v>51</v>
      </c>
      <c r="D42" s="7" t="s">
        <v>16</v>
      </c>
      <c r="E42" s="26">
        <v>37</v>
      </c>
    </row>
    <row r="43" spans="1:12" ht="15" thickBot="1" x14ac:dyDescent="0.35">
      <c r="A43" s="27" t="s">
        <v>53</v>
      </c>
      <c r="B43" s="28" t="s">
        <v>51</v>
      </c>
      <c r="C43" s="28">
        <v>28</v>
      </c>
      <c r="D43" s="28" t="s">
        <v>16</v>
      </c>
      <c r="E43" s="90">
        <v>28</v>
      </c>
      <c r="G43" s="31"/>
      <c r="H43" s="37" t="s">
        <v>54</v>
      </c>
      <c r="I43" s="32"/>
      <c r="J43" s="32"/>
      <c r="K43" s="32"/>
      <c r="L43" s="33"/>
    </row>
    <row r="44" spans="1:12" x14ac:dyDescent="0.3">
      <c r="G44" s="35" t="s">
        <v>55</v>
      </c>
      <c r="H44" s="25" t="str">
        <f>H10</f>
        <v>Cape Town A</v>
      </c>
      <c r="I44" s="6" t="str">
        <f>H11</f>
        <v>Dr Kenneth Kaunda</v>
      </c>
      <c r="J44" s="7"/>
      <c r="K44" s="7" t="s">
        <v>16</v>
      </c>
      <c r="L44" s="26"/>
    </row>
    <row r="45" spans="1:12" x14ac:dyDescent="0.3">
      <c r="G45" s="35" t="s">
        <v>56</v>
      </c>
      <c r="H45" s="25" t="str">
        <f>H6</f>
        <v>Johannesburg A</v>
      </c>
      <c r="I45" s="6" t="str">
        <f>H9</f>
        <v>Royal Bafokeng</v>
      </c>
      <c r="J45" s="7"/>
      <c r="K45" s="7" t="s">
        <v>16</v>
      </c>
      <c r="L45" s="26"/>
    </row>
    <row r="46" spans="1:12" ht="15" thickBot="1" x14ac:dyDescent="0.35">
      <c r="A46" s="20" t="s">
        <v>147</v>
      </c>
      <c r="G46" s="36" t="s">
        <v>57</v>
      </c>
      <c r="H46" s="27" t="str">
        <f>H7</f>
        <v>Mangaung</v>
      </c>
      <c r="I46" s="28" t="str">
        <f>H8</f>
        <v>Tshwane A</v>
      </c>
      <c r="J46" s="29"/>
      <c r="K46" s="29" t="s">
        <v>16</v>
      </c>
      <c r="L46" s="30"/>
    </row>
    <row r="47" spans="1:12" x14ac:dyDescent="0.3">
      <c r="A47" s="21" t="s">
        <v>50</v>
      </c>
      <c r="B47" s="22" t="s">
        <v>49</v>
      </c>
      <c r="C47" s="23">
        <v>41</v>
      </c>
      <c r="D47" s="23" t="s">
        <v>16</v>
      </c>
      <c r="E47" s="24">
        <v>49</v>
      </c>
    </row>
    <row r="48" spans="1:12" x14ac:dyDescent="0.3">
      <c r="A48" s="25" t="s">
        <v>51</v>
      </c>
      <c r="B48" s="6" t="s">
        <v>52</v>
      </c>
      <c r="C48" s="7">
        <v>37</v>
      </c>
      <c r="D48" s="7" t="s">
        <v>16</v>
      </c>
      <c r="E48" s="26">
        <v>49</v>
      </c>
    </row>
    <row r="49" spans="1:5" x14ac:dyDescent="0.3">
      <c r="A49" s="25" t="s">
        <v>123</v>
      </c>
      <c r="B49" s="6" t="s">
        <v>53</v>
      </c>
      <c r="C49" s="7">
        <v>58</v>
      </c>
      <c r="D49" s="7" t="s">
        <v>16</v>
      </c>
      <c r="E49" s="26">
        <v>27</v>
      </c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2C22-1918-452A-B0B5-96DB329C0242}">
  <sheetPr codeName="Sheet22">
    <tabColor rgb="FFFFC000"/>
  </sheetPr>
  <dimension ref="A1:AG38"/>
  <sheetViews>
    <sheetView workbookViewId="0">
      <selection activeCell="B19" sqref="B19"/>
    </sheetView>
  </sheetViews>
  <sheetFormatPr defaultRowHeight="14.4" x14ac:dyDescent="0.3"/>
  <cols>
    <col min="1" max="1" width="17.33203125" bestFit="1" customWidth="1"/>
    <col min="2" max="2" width="16.33203125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4.10937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4.5546875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8" width="3.109375" hidden="1" customWidth="1"/>
    <col min="29" max="29" width="3.33203125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48" t="s">
        <v>58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102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Cape Town</v>
      </c>
      <c r="X3" s="2" cm="1">
        <f t="array" ref="X3">SUM(($A$17:$A$612=W3)*(ISNUMBER($C$17:$C$612)),($B$17:$B$612=W3)*(ISNUMBER($E$17:$E$612)))</f>
        <v>3</v>
      </c>
      <c r="Y3" s="3" cm="1">
        <f t="array" ref="Y3">SUMPRODUCT(($A$17:$A$612=W3)*($C$17:$C$612&gt;$E$17:$E$612)) +
 SUMPRODUCT(($B$17:$B$612=W3)*($E$17:$E$612&gt;$C$17:$C$612))</f>
        <v>1</v>
      </c>
      <c r="Z3" s="3" cm="1">
        <f t="array" ref="Z3">SUM(($A$17:$A$612=W3)*($C$17:$C$612=$E$17:$E$612)*ISNUMBER($E$17:$E$612),($B$17:$B$612=W3)*($E$17:$E$612=$C$17:$C$612)*ISNUMBER($C$17:$C$612))</f>
        <v>0</v>
      </c>
      <c r="AA3" s="3" cm="1">
        <f t="array" ref="AA3">SUM(($A$17:$A$612=W3)*($C$17:$C$612&lt;$E$17:$E$612),($B$17:$B$612=W3)*($E$17:$E$612&lt;$C$17:$C$612))</f>
        <v>2</v>
      </c>
      <c r="AB3" s="4">
        <f>SUMIF($A$17:$A$612,W3,$C$17:$C$612)+SUMIF($B$17:$B$612,W3,$E$17:$E$612)</f>
        <v>79</v>
      </c>
      <c r="AC3" s="5">
        <f>SUMIF($A$17:$A$612,W3,$E$17:$E$612)+SUMIF($B$17:$B$612,W3,$C$17:$C$612)</f>
        <v>97</v>
      </c>
      <c r="AD3" s="3">
        <f>AB3-AC3</f>
        <v>-18</v>
      </c>
      <c r="AE3" s="4">
        <f>Y3*Points!$B$2+Z3*Points!$B$3</f>
        <v>2</v>
      </c>
      <c r="AF3">
        <f>AB3+AD3*10000+AE3*100000000</f>
        <v>199820079</v>
      </c>
      <c r="AG3">
        <f>AB3/AC3/X3</f>
        <v>0.27147766323024053</v>
      </c>
    </row>
    <row r="4" spans="1:33" ht="28.8" x14ac:dyDescent="0.55000000000000004">
      <c r="A4" s="6" t="s">
        <v>121</v>
      </c>
      <c r="H4" s="105" t="s">
        <v>58</v>
      </c>
      <c r="I4" s="106"/>
      <c r="J4" s="106"/>
      <c r="K4" s="106"/>
      <c r="L4" s="106"/>
      <c r="M4" s="106"/>
      <c r="N4" s="106"/>
      <c r="O4" s="106"/>
      <c r="P4" s="106"/>
      <c r="Q4" s="106"/>
      <c r="W4" s="1" t="str">
        <f>A5</f>
        <v>Cape Winelands</v>
      </c>
      <c r="X4" s="2" cm="1">
        <f t="array" ref="X4">SUM(($A$17:$A$612=W4)*(ISNUMBER($C$17:$C$612)),($B$17:$B$612=W4)*(ISNUMBER($E$17:$E$612)))</f>
        <v>3</v>
      </c>
      <c r="Y4" s="3" cm="1">
        <f t="array" ref="Y4">SUMPRODUCT(($A$17:$A$612=W4)*($C$17:$C$612&gt;$E$17:$E$612)) +
 SUMPRODUCT(($B$17:$B$612=W4)*($E$17:$E$612&gt;$C$17:$C$612))</f>
        <v>3</v>
      </c>
      <c r="Z4" s="3" cm="1">
        <f t="array" ref="Z4">SUM(($A$17:$A$612=W4)*($C$17:$C$612=$E$17:$E$612)*ISNUMBER($E$17:$E$612),($B$17:$B$612=W4)*($E$17:$E$612=$C$17:$C$612)*ISNUMBER($C$17:$C$612))</f>
        <v>0</v>
      </c>
      <c r="AA4" s="3" cm="1">
        <f t="array" ref="AA4">SUM(($A$17:$A$612=W4)*($C$17:$C$612&lt;$E$17:$E$612),($B$17:$B$612=W4)*($E$17:$E$612&lt;$C$17:$C$612))</f>
        <v>0</v>
      </c>
      <c r="AB4" s="4">
        <f>SUMIF($A$17:$A$612,W4,$C$17:$C$612)+SUMIF($B$17:$B$612,W4,$E$17:$E$612)</f>
        <v>98</v>
      </c>
      <c r="AC4" s="5">
        <f>SUMIF($A$17:$A$612,W4,$E$17:$E$612)+SUMIF($B$17:$B$612,W4,$C$17:$C$612)</f>
        <v>62</v>
      </c>
      <c r="AD4" s="3">
        <f t="shared" ref="AD4" si="0">AB4-AC4</f>
        <v>36</v>
      </c>
      <c r="AE4" s="4">
        <f>Y4*Points!$B$2+Z4*Points!$B$3</f>
        <v>6</v>
      </c>
      <c r="AF4">
        <f t="shared" ref="AF4" si="1">AB4+AD4*10000+AE4*100000000</f>
        <v>600360098</v>
      </c>
      <c r="AG4">
        <f t="shared" ref="AG4:AG6" si="2">AB4/AC4/X4</f>
        <v>0.5268817204301075</v>
      </c>
    </row>
    <row r="5" spans="1:33" x14ac:dyDescent="0.3">
      <c r="A5" s="6" t="s">
        <v>46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Mopani</v>
      </c>
      <c r="X5" s="2" cm="1">
        <f t="array" ref="X5">SUM(($A$17:$A$612=W5)*(ISNUMBER($C$17:$C$612)),($B$17:$B$612=W5)*(ISNUMBER($E$17:$E$612)))</f>
        <v>3</v>
      </c>
      <c r="Y5" s="3" cm="1">
        <f t="array" ref="Y5">SUMPRODUCT(($A$17:$A$612=W5)*($C$17:$C$612&gt;$E$17:$E$612)) +
 SUMPRODUCT(($B$17:$B$612=W5)*($E$17:$E$612&gt;$C$17:$C$612))</f>
        <v>0</v>
      </c>
      <c r="Z5" s="3" cm="1">
        <f t="array" ref="Z5">SUM(($A$17:$A$612=W5)*($C$17:$C$612=$E$17:$E$612)*ISNUMBER($E$17:$E$612),($B$17:$B$612=W5)*($E$17:$E$612=$C$17:$C$612)*ISNUMBER($C$17:$C$612))</f>
        <v>0</v>
      </c>
      <c r="AA5" s="3" cm="1">
        <f t="array" ref="AA5">SUM(($A$17:$A$612=W5)*($C$17:$C$612&lt;$E$17:$E$612),($B$17:$B$612=W5)*($E$17:$E$612&lt;$C$17:$C$612))</f>
        <v>3</v>
      </c>
      <c r="AB5" s="4">
        <f>SUMIF($A$17:$A$612,W5,$C$17:$C$612)+SUMIF($B$17:$B$612,W5,$E$17:$E$612)</f>
        <v>53</v>
      </c>
      <c r="AC5" s="5">
        <f>SUMIF($A$17:$A$612,W5,$E$17:$E$612)+SUMIF($B$17:$B$612,W5,$C$17:$C$612)</f>
        <v>96</v>
      </c>
      <c r="AD5" s="3">
        <f>AB5-AC5</f>
        <v>-43</v>
      </c>
      <c r="AE5" s="4">
        <f>Y5*Points!$B$2+Z5*Points!$B$3</f>
        <v>0</v>
      </c>
      <c r="AF5">
        <f>AB5+AD5*10000+AE5*100000000</f>
        <v>-429947</v>
      </c>
      <c r="AG5">
        <f t="shared" si="2"/>
        <v>0.18402777777777779</v>
      </c>
    </row>
    <row r="6" spans="1:33" x14ac:dyDescent="0.3">
      <c r="A6" s="6" t="s">
        <v>44</v>
      </c>
      <c r="H6" s="6" t="str" cm="1">
        <f t="array" ref="H6">INDEX($W$3:$W$6,MATCH(LARGE($AF$3:$AF$6-ROW($AF$3:$AF$6)/COUNT($AF$3:$AF$6),ROW(H6)-ROW(H$6)+1),$AF$3:$AF$6-ROW($AF$3:$AF$6)/COUNT($AF$3:$AF$6),0))</f>
        <v>Cape Winelands</v>
      </c>
      <c r="I6" s="7">
        <f>VLOOKUP($H6,$W$3:$AE$7,2,0)</f>
        <v>3</v>
      </c>
      <c r="J6" s="7">
        <f>VLOOKUP($H6,$W$3:$AE$7,3,0)</f>
        <v>3</v>
      </c>
      <c r="K6" s="7">
        <f>VLOOKUP($H6,$W$3:$AE$7,5,0)</f>
        <v>0</v>
      </c>
      <c r="L6" s="7">
        <f>VLOOKUP($H6,$W$3:$AE$7,4,0)</f>
        <v>0</v>
      </c>
      <c r="M6" s="7">
        <f>VLOOKUP($H6,$W$3:$AE$7,9,0)</f>
        <v>6</v>
      </c>
      <c r="N6" s="7">
        <f>VLOOKUP($H6,$W$3:$AE$7,6,0)</f>
        <v>98</v>
      </c>
      <c r="O6" s="7">
        <f>VLOOKUP($H6,$W$3:$AE$7,7,0)</f>
        <v>62</v>
      </c>
      <c r="P6" s="7">
        <f>VLOOKUP($H6,$W$3:$AE$7,8,0)</f>
        <v>36</v>
      </c>
      <c r="Q6" s="60">
        <f>VLOOKUP($H6,$W$3:$AG$6,11,0)</f>
        <v>0.5268817204301075</v>
      </c>
      <c r="W6" s="1" t="str">
        <f>A7</f>
        <v>Capricorn</v>
      </c>
      <c r="X6" s="2" cm="1">
        <f t="array" ref="X6">SUM(($A$17:$A$612=W6)*(ISNUMBER($C$17:$C$612)),($B$17:$B$612=W6)*(ISNUMBER($E$17:$E$612)))</f>
        <v>3</v>
      </c>
      <c r="Y6" s="3" cm="1">
        <f t="array" ref="Y6">SUMPRODUCT(($A$17:$A$612=W6)*($C$17:$C$612&gt;$E$17:$E$612)) +
 SUMPRODUCT(($B$17:$B$612=W6)*($E$17:$E$612&gt;$C$17:$C$612))</f>
        <v>2</v>
      </c>
      <c r="Z6" s="3" cm="1">
        <f t="array" ref="Z6">SUM(($A$17:$A$612=W6)*($C$17:$C$612=$E$17:$E$612)*ISNUMBER($E$17:$E$612),($B$17:$B$612=W6)*($E$17:$E$612=$C$17:$C$612)*ISNUMBER($C$17:$C$612))</f>
        <v>0</v>
      </c>
      <c r="AA6" s="3" cm="1">
        <f t="array" ref="AA6">SUM(($A$17:$A$612=W6)*($C$17:$C$612&lt;$E$17:$E$612),($B$17:$B$612=W6)*($E$17:$E$612&lt;$C$17:$C$612))</f>
        <v>1</v>
      </c>
      <c r="AB6" s="4">
        <f>SUMIF($A$17:$A$612,W6,$C$17:$C$612)+SUMIF($B$17:$B$612,W6,$E$17:$E$612)</f>
        <v>92</v>
      </c>
      <c r="AC6" s="5">
        <f>SUMIF($A$17:$A$612,W6,$E$17:$E$612)+SUMIF($B$17:$B$612,W6,$C$17:$C$612)</f>
        <v>67</v>
      </c>
      <c r="AD6" s="3">
        <f t="shared" ref="AD6" si="3">AB6-AC6</f>
        <v>25</v>
      </c>
      <c r="AE6" s="4">
        <f>Y6*Points!$B$2+Z6*Points!$B$3</f>
        <v>4</v>
      </c>
      <c r="AF6">
        <f t="shared" ref="AF6" si="4">AB6+AD6*10000+AE6*100000000</f>
        <v>400250092</v>
      </c>
      <c r="AG6">
        <f t="shared" si="2"/>
        <v>0.45771144278606962</v>
      </c>
    </row>
    <row r="7" spans="1:33" x14ac:dyDescent="0.3">
      <c r="A7" s="6" t="s">
        <v>122</v>
      </c>
      <c r="H7" s="6" t="str" cm="1">
        <f t="array" ref="H7">INDEX($W$3:$W$6,MATCH(LARGE($AF$3:$AF$6-ROW($AF$3:$AF$6)/COUNT($AF$3:$AF$6),ROW(H7)-ROW(H$6)+1),$AF$3:$AF$6-ROW($AF$3:$AF$6)/COUNT($AF$3:$AF$6),0))</f>
        <v>Capricorn</v>
      </c>
      <c r="I7" s="7">
        <f t="shared" ref="I7:I9" si="5">VLOOKUP($H7,$W$3:$AE$7,2,0)</f>
        <v>3</v>
      </c>
      <c r="J7" s="7">
        <f t="shared" ref="J7:J9" si="6">VLOOKUP($H7,$W$3:$AE$7,3,0)</f>
        <v>2</v>
      </c>
      <c r="K7" s="7">
        <f t="shared" ref="K7:K9" si="7">VLOOKUP($H7,$W$3:$AE$7,5,0)</f>
        <v>1</v>
      </c>
      <c r="L7" s="7">
        <f t="shared" ref="L7:L9" si="8">VLOOKUP($H7,$W$3:$AE$7,4,0)</f>
        <v>0</v>
      </c>
      <c r="M7" s="7">
        <f t="shared" ref="M7:M9" si="9">VLOOKUP($H7,$W$3:$AE$7,9,0)</f>
        <v>4</v>
      </c>
      <c r="N7" s="7">
        <f t="shared" ref="N7:N9" si="10">VLOOKUP($H7,$W$3:$AE$7,6,0)</f>
        <v>92</v>
      </c>
      <c r="O7" s="7">
        <f t="shared" ref="O7:O9" si="11">VLOOKUP($H7,$W$3:$AE$7,7,0)</f>
        <v>67</v>
      </c>
      <c r="P7" s="7">
        <f t="shared" ref="P7:P9" si="12">VLOOKUP($H7,$W$3:$AE$7,8,0)</f>
        <v>25</v>
      </c>
      <c r="Q7" s="60">
        <f t="shared" ref="Q7:Q9" si="13">VLOOKUP($H7,$W$3:$AG$6,11,0)</f>
        <v>0.45771144278606962</v>
      </c>
      <c r="W7" s="1"/>
      <c r="X7" s="2"/>
      <c r="Y7" s="3"/>
      <c r="Z7" s="3"/>
      <c r="AA7" s="3"/>
      <c r="AB7" s="4"/>
      <c r="AC7" s="5"/>
      <c r="AD7" s="3"/>
      <c r="AE7" s="4"/>
    </row>
    <row r="8" spans="1:33" x14ac:dyDescent="0.3">
      <c r="H8" s="6" t="str" cm="1">
        <f t="array" ref="H8">INDEX($W$3:$W$6,MATCH(LARGE($AF$3:$AF$6-ROW($AF$3:$AF$6)/COUNT($AF$3:$AF$6),ROW(H8)-ROW(H$6)+1),$AF$3:$AF$6-ROW($AF$3:$AF$6)/COUNT($AF$3:$AF$6),0))</f>
        <v>Cape Town</v>
      </c>
      <c r="I8" s="7">
        <f t="shared" si="5"/>
        <v>3</v>
      </c>
      <c r="J8" s="7">
        <f t="shared" si="6"/>
        <v>1</v>
      </c>
      <c r="K8" s="7">
        <f t="shared" si="7"/>
        <v>2</v>
      </c>
      <c r="L8" s="7">
        <f t="shared" si="8"/>
        <v>0</v>
      </c>
      <c r="M8" s="7">
        <f t="shared" si="9"/>
        <v>2</v>
      </c>
      <c r="N8" s="7">
        <f t="shared" si="10"/>
        <v>79</v>
      </c>
      <c r="O8" s="7">
        <f t="shared" si="11"/>
        <v>97</v>
      </c>
      <c r="P8" s="7">
        <f t="shared" si="12"/>
        <v>-18</v>
      </c>
      <c r="Q8" s="60">
        <f t="shared" si="13"/>
        <v>0.27147766323024053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H9" s="6" t="str" cm="1">
        <f t="array" ref="H9">INDEX($W$3:$W$6,MATCH(LARGE($AF$3:$AF$6-ROW($AF$3:$AF$6)/COUNT($AF$3:$AF$6),ROW(H9)-ROW(H$6)+1),$AF$3:$AF$6-ROW($AF$3:$AF$6)/COUNT($AF$3:$AF$6),0))</f>
        <v>Mopani</v>
      </c>
      <c r="I9" s="7">
        <f t="shared" si="5"/>
        <v>3</v>
      </c>
      <c r="J9" s="7">
        <f t="shared" si="6"/>
        <v>0</v>
      </c>
      <c r="K9" s="7">
        <f t="shared" si="7"/>
        <v>3</v>
      </c>
      <c r="L9" s="7">
        <f t="shared" si="8"/>
        <v>0</v>
      </c>
      <c r="M9" s="7">
        <f t="shared" si="9"/>
        <v>0</v>
      </c>
      <c r="N9" s="7">
        <f t="shared" si="10"/>
        <v>53</v>
      </c>
      <c r="O9" s="7">
        <f t="shared" si="11"/>
        <v>96</v>
      </c>
      <c r="P9" s="7">
        <f t="shared" si="12"/>
        <v>-43</v>
      </c>
      <c r="Q9" s="60">
        <f t="shared" si="13"/>
        <v>0.18402777777777779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H10"/>
      <c r="J10" s="3"/>
      <c r="K10" s="3"/>
      <c r="L10" s="3"/>
      <c r="M10" s="3"/>
      <c r="N10" s="3"/>
      <c r="O10" s="3"/>
      <c r="P10" s="3"/>
      <c r="Q10" s="3"/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3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3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104</v>
      </c>
    </row>
    <row r="17" spans="1:12" x14ac:dyDescent="0.3">
      <c r="A17" s="21" t="s">
        <v>44</v>
      </c>
      <c r="B17" s="22" t="s">
        <v>121</v>
      </c>
      <c r="C17" s="23">
        <v>21</v>
      </c>
      <c r="D17" s="23" t="s">
        <v>16</v>
      </c>
      <c r="E17" s="24">
        <v>32</v>
      </c>
      <c r="F17" s="3"/>
      <c r="H17"/>
      <c r="I17"/>
      <c r="J17" s="3"/>
      <c r="K17" s="3"/>
      <c r="L17" s="3"/>
    </row>
    <row r="18" spans="1:12" ht="15" thickBot="1" x14ac:dyDescent="0.35">
      <c r="A18" s="27" t="s">
        <v>46</v>
      </c>
      <c r="B18" s="28" t="s">
        <v>122</v>
      </c>
      <c r="C18" s="29">
        <v>29</v>
      </c>
      <c r="D18" s="29" t="s">
        <v>16</v>
      </c>
      <c r="E18" s="30">
        <v>21</v>
      </c>
      <c r="F18" s="3"/>
      <c r="H18"/>
      <c r="I18"/>
      <c r="J18" s="3"/>
      <c r="K18" s="3"/>
      <c r="L18" s="3"/>
    </row>
    <row r="19" spans="1:12" x14ac:dyDescent="0.3">
      <c r="F19" s="3"/>
      <c r="H19"/>
      <c r="I19"/>
    </row>
    <row r="20" spans="1:12" x14ac:dyDescent="0.3">
      <c r="F20" s="3"/>
      <c r="H20"/>
      <c r="I20"/>
    </row>
    <row r="21" spans="1:12" ht="15" thickBot="1" x14ac:dyDescent="0.35">
      <c r="A21" s="20" t="s">
        <v>141</v>
      </c>
      <c r="F21" s="3"/>
      <c r="H21"/>
      <c r="I21"/>
    </row>
    <row r="22" spans="1:12" x14ac:dyDescent="0.3">
      <c r="A22" s="21" t="s">
        <v>46</v>
      </c>
      <c r="B22" s="22" t="s">
        <v>121</v>
      </c>
      <c r="C22" s="23">
        <v>38</v>
      </c>
      <c r="D22" s="23" t="s">
        <v>16</v>
      </c>
      <c r="E22" s="24">
        <v>19</v>
      </c>
      <c r="H22"/>
      <c r="I22"/>
      <c r="J22" s="3"/>
      <c r="K22" s="3"/>
      <c r="L22" s="3"/>
    </row>
    <row r="23" spans="1:12" x14ac:dyDescent="0.3">
      <c r="A23" s="25" t="s">
        <v>122</v>
      </c>
      <c r="B23" s="6" t="s">
        <v>44</v>
      </c>
      <c r="C23" s="7">
        <v>33</v>
      </c>
      <c r="D23" s="7" t="s">
        <v>16</v>
      </c>
      <c r="E23" s="26">
        <v>10</v>
      </c>
      <c r="H23"/>
      <c r="I23"/>
      <c r="J23" s="3"/>
      <c r="K23" s="3"/>
      <c r="L23" s="3"/>
    </row>
    <row r="24" spans="1:12" x14ac:dyDescent="0.3">
      <c r="A24" s="25" t="s">
        <v>44</v>
      </c>
      <c r="B24" s="6" t="s">
        <v>46</v>
      </c>
      <c r="C24" s="7">
        <v>22</v>
      </c>
      <c r="D24" s="7" t="s">
        <v>16</v>
      </c>
      <c r="E24" s="26">
        <v>31</v>
      </c>
      <c r="H24"/>
      <c r="I24"/>
      <c r="J24" s="3"/>
      <c r="K24" s="3"/>
      <c r="L24" s="3"/>
    </row>
    <row r="25" spans="1:12" ht="15" thickBot="1" x14ac:dyDescent="0.35">
      <c r="A25" s="27" t="s">
        <v>121</v>
      </c>
      <c r="B25" s="28" t="s">
        <v>122</v>
      </c>
      <c r="C25" s="29">
        <v>28</v>
      </c>
      <c r="D25" s="29" t="s">
        <v>16</v>
      </c>
      <c r="E25" s="30">
        <v>38</v>
      </c>
      <c r="H25"/>
      <c r="I25"/>
      <c r="J25" s="3"/>
      <c r="K25" s="3"/>
      <c r="L25" s="3"/>
    </row>
    <row r="28" spans="1:12" x14ac:dyDescent="0.3">
      <c r="A28" s="3"/>
      <c r="B28" s="3"/>
      <c r="C28" s="3"/>
      <c r="G28"/>
      <c r="H28"/>
      <c r="I28"/>
    </row>
    <row r="29" spans="1:12" x14ac:dyDescent="0.3">
      <c r="A29" s="3"/>
      <c r="D29" s="3"/>
      <c r="E29" s="3"/>
      <c r="F29" s="3"/>
      <c r="G29"/>
      <c r="H29"/>
      <c r="I29"/>
    </row>
    <row r="30" spans="1:12" x14ac:dyDescent="0.3">
      <c r="A30" s="3"/>
      <c r="D30" s="3"/>
      <c r="E30" s="3"/>
      <c r="F30" s="3"/>
      <c r="G30"/>
      <c r="H30"/>
      <c r="I30"/>
    </row>
    <row r="31" spans="1:12" x14ac:dyDescent="0.3">
      <c r="A31" s="3"/>
      <c r="B31" s="3"/>
      <c r="C31" s="3"/>
      <c r="G31"/>
      <c r="H31"/>
      <c r="I31"/>
    </row>
    <row r="32" spans="1:12" x14ac:dyDescent="0.3">
      <c r="A32" s="3"/>
      <c r="B32" s="3"/>
      <c r="C32" s="3"/>
      <c r="G32"/>
      <c r="H32"/>
      <c r="I32"/>
    </row>
    <row r="33" spans="1:12" x14ac:dyDescent="0.3">
      <c r="A33" s="3"/>
      <c r="B33" s="3"/>
      <c r="C33" s="3"/>
      <c r="G33"/>
      <c r="H33"/>
      <c r="I33"/>
    </row>
    <row r="35" spans="1:12" x14ac:dyDescent="0.3">
      <c r="G35" s="42"/>
      <c r="H35"/>
      <c r="I35"/>
      <c r="J35" s="3"/>
      <c r="K35" s="3"/>
      <c r="L35" s="3"/>
    </row>
    <row r="36" spans="1:12" x14ac:dyDescent="0.3">
      <c r="H36"/>
      <c r="I36"/>
      <c r="J36" s="3"/>
      <c r="K36" s="3"/>
      <c r="L36" s="3"/>
    </row>
    <row r="37" spans="1:12" x14ac:dyDescent="0.3">
      <c r="H37"/>
      <c r="I37"/>
      <c r="J37" s="3"/>
      <c r="K37" s="3"/>
      <c r="L37" s="3"/>
    </row>
    <row r="38" spans="1:12" x14ac:dyDescent="0.3">
      <c r="H38"/>
      <c r="I38"/>
      <c r="J38" s="3"/>
      <c r="K38" s="3"/>
      <c r="L38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315B2-5710-4E2D-B8F5-36F73699F9E6}">
  <sheetPr>
    <tabColor theme="9" tint="-0.249977111117893"/>
  </sheetPr>
  <dimension ref="A1:AG42"/>
  <sheetViews>
    <sheetView tabSelected="1" workbookViewId="0">
      <selection activeCell="E36" sqref="E36"/>
    </sheetView>
  </sheetViews>
  <sheetFormatPr defaultRowHeight="14.4" x14ac:dyDescent="0.3"/>
  <cols>
    <col min="1" max="1" width="30.88671875" bestFit="1" customWidth="1"/>
    <col min="2" max="2" width="10.6640625" bestFit="1" customWidth="1"/>
    <col min="3" max="3" width="3" bestFit="1" customWidth="1"/>
    <col min="4" max="4" width="1.5546875" bestFit="1" customWidth="1"/>
    <col min="5" max="5" width="3" bestFit="1" customWidth="1"/>
    <col min="6" max="6" width="8.33203125" customWidth="1"/>
    <col min="7" max="7" width="10" style="3" bestFit="1" customWidth="1"/>
    <col min="8" max="8" width="10.6640625" style="3" bestFit="1" customWidth="1"/>
    <col min="9" max="9" width="6.6640625" style="3" bestFit="1" customWidth="1"/>
    <col min="10" max="10" width="4.33203125" bestFit="1" customWidth="1"/>
    <col min="11" max="11" width="4.77734375" bestFit="1" customWidth="1"/>
    <col min="12" max="12" width="5.33203125" bestFit="1" customWidth="1"/>
    <col min="13" max="13" width="6.2187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44140625" customWidth="1"/>
    <col min="23" max="23" width="11" hidden="1" customWidth="1"/>
    <col min="24" max="24" width="3.21875" hidden="1" customWidth="1"/>
    <col min="25" max="25" width="2.77734375" hidden="1" customWidth="1"/>
    <col min="26" max="26" width="2.21875" hidden="1" customWidth="1"/>
    <col min="27" max="27" width="2" hidden="1" customWidth="1"/>
    <col min="28" max="28" width="4" hidden="1" customWidth="1"/>
    <col min="29" max="29" width="3.33203125" hidden="1" customWidth="1"/>
    <col min="30" max="30" width="3.6640625" hidden="1" customWidth="1"/>
    <col min="31" max="31" width="3.88671875" hidden="1" customWidth="1"/>
    <col min="32" max="32" width="10" hidden="1" customWidth="1"/>
    <col min="33" max="33" width="12" hidden="1" customWidth="1"/>
  </cols>
  <sheetData>
    <row r="1" spans="1:33" ht="29.4" thickBot="1" x14ac:dyDescent="0.6">
      <c r="A1" s="58" t="s">
        <v>118</v>
      </c>
    </row>
    <row r="2" spans="1:33" x14ac:dyDescent="0.3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3">
      <c r="A3" s="14" t="s">
        <v>9</v>
      </c>
      <c r="B3" s="19"/>
      <c r="H3" s="13" t="s">
        <v>10</v>
      </c>
      <c r="W3" s="12" t="str">
        <f>A4</f>
        <v>SANDF B</v>
      </c>
      <c r="X3" s="2" cm="1">
        <f t="array" ref="X3">SUM(($A$17:$A$616=W3)*(ISNUMBER($C$17:$C$616)),($B$17:$B$616=W3)*(ISNUMBER($E$17:$E$616)))</f>
        <v>4</v>
      </c>
      <c r="Y3" s="3" cm="1">
        <f t="array" ref="Y3">SUMPRODUCT(($A$17:$A$616=W3)*($C$17:$C$616&gt;$E$17:$E$616)) +
 SUMPRODUCT(($B$17:$B$616=W3)*($E$17:$E$616&gt;$C$17:$C$616))</f>
        <v>2</v>
      </c>
      <c r="Z3" s="3" cm="1">
        <f t="array" ref="Z3">SUM(($A$17:$A$616=W3)*($C$17:$C$616=$E$17:$E$616)*ISNUMBER($E$17:$E$616),($B$17:$B$616=W3)*($E$17:$E$616=$C$17:$C$616)*ISNUMBER($C$17:$C$616))</f>
        <v>0</v>
      </c>
      <c r="AA3" s="3" cm="1">
        <f t="array" ref="AA3">SUM(($A$17:$A$616=W3)*($C$17:$C$616&lt;$E$17:$E$616),($B$17:$B$616=W3)*($E$17:$E$616&lt;$C$17:$C$616))</f>
        <v>2</v>
      </c>
      <c r="AB3" s="4">
        <f>SUMIF($A$17:$A$616,W3,$C$17:$C$616)+SUMIF($B$17:$B$616,W3,$E$17:$E$616)</f>
        <v>125</v>
      </c>
      <c r="AC3" s="5">
        <f>SUMIF($A$17:$A$616,W3,$E$17:$E$616)+SUMIF($B$17:$B$616,W3,$C$17:$C$616)</f>
        <v>134</v>
      </c>
      <c r="AD3" s="3">
        <f>AB3-AC3</f>
        <v>-9</v>
      </c>
      <c r="AE3" s="4">
        <f>Y3*Points!$B$2+Z3*Points!$B$3</f>
        <v>4</v>
      </c>
      <c r="AF3">
        <f>AB3+AD3*10000+AE3*100000000</f>
        <v>399910125</v>
      </c>
      <c r="AG3">
        <f>AB3/AC3/X3</f>
        <v>0.2332089552238806</v>
      </c>
    </row>
    <row r="4" spans="1:33" ht="28.8" x14ac:dyDescent="0.55000000000000004">
      <c r="A4" s="6" t="s">
        <v>61</v>
      </c>
      <c r="H4" s="107" t="s">
        <v>118</v>
      </c>
      <c r="I4" s="108"/>
      <c r="J4" s="108"/>
      <c r="K4" s="108"/>
      <c r="L4" s="108"/>
      <c r="M4" s="108"/>
      <c r="N4" s="108"/>
      <c r="O4" s="108"/>
      <c r="P4" s="108"/>
      <c r="Q4" s="108"/>
      <c r="W4" s="1" t="str">
        <f>A5</f>
        <v>Sekhukhune</v>
      </c>
      <c r="X4" s="2" cm="1">
        <f t="array" ref="X4">SUM(($A$17:$A$616=W4)*(ISNUMBER($C$17:$C$616)),($B$17:$B$616=W4)*(ISNUMBER($E$17:$E$616)))</f>
        <v>4</v>
      </c>
      <c r="Y4" s="3" cm="1">
        <f t="array" ref="Y4">SUMPRODUCT(($A$17:$A$616=W4)*($C$17:$C$616&gt;$E$17:$E$616)) +
 SUMPRODUCT(($B$17:$B$616=W4)*($E$17:$E$616&gt;$C$17:$C$616))</f>
        <v>4</v>
      </c>
      <c r="Z4" s="3" cm="1">
        <f t="array" ref="Z4">SUM(($A$17:$A$616=W4)*($C$17:$C$616=$E$17:$E$616)*ISNUMBER($E$17:$E$616),($B$17:$B$616=W4)*($E$17:$E$616=$C$17:$C$616)*ISNUMBER($C$17:$C$616))</f>
        <v>0</v>
      </c>
      <c r="AA4" s="3" cm="1">
        <f t="array" ref="AA4">SUM(($A$17:$A$616=W4)*($C$17:$C$616&lt;$E$17:$E$616),($B$17:$B$616=W4)*($E$17:$E$616&lt;$C$17:$C$616))</f>
        <v>0</v>
      </c>
      <c r="AB4" s="4">
        <f>SUMIF($A$17:$A$616,W4,$C$17:$C$616)+SUMIF($B$17:$B$616,W4,$E$17:$E$616)</f>
        <v>200</v>
      </c>
      <c r="AC4" s="5">
        <f>SUMIF($A$17:$A$616,W4,$E$17:$E$616)+SUMIF($B$17:$B$616,W4,$C$17:$C$616)</f>
        <v>82</v>
      </c>
      <c r="AD4" s="3">
        <f t="shared" ref="AD4" si="0">AB4-AC4</f>
        <v>118</v>
      </c>
      <c r="AE4" s="4">
        <f>Y4*Points!$B$2+Z4*Points!$B$3</f>
        <v>8</v>
      </c>
      <c r="AF4">
        <f t="shared" ref="AF4" si="1">AB4+AD4*10000+AE4*100000000</f>
        <v>801180200</v>
      </c>
      <c r="AG4">
        <f t="shared" ref="AG4:AG7" si="2">AB4/AC4/X4</f>
        <v>0.6097560975609756</v>
      </c>
    </row>
    <row r="5" spans="1:33" x14ac:dyDescent="0.3">
      <c r="A5" s="6" t="s">
        <v>25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NMM</v>
      </c>
      <c r="X5" s="2" cm="1">
        <f t="array" ref="X5">SUM(($A$17:$A$616=W5)*(ISNUMBER($C$17:$C$616)),($B$17:$B$616=W5)*(ISNUMBER($E$17:$E$616)))</f>
        <v>4</v>
      </c>
      <c r="Y5" s="3" cm="1">
        <f t="array" ref="Y5">SUMPRODUCT(($A$17:$A$616=W5)*($C$17:$C$616&gt;$E$17:$E$616)) +
 SUMPRODUCT(($B$17:$B$616=W5)*($E$17:$E$616&gt;$C$17:$C$616))</f>
        <v>2</v>
      </c>
      <c r="Z5" s="3" cm="1">
        <f t="array" ref="Z5">SUM(($A$17:$A$616=W5)*($C$17:$C$616=$E$17:$E$616)*ISNUMBER($E$17:$E$616),($B$17:$B$616=W5)*($E$17:$E$616=$C$17:$C$616)*ISNUMBER($C$17:$C$616))</f>
        <v>0</v>
      </c>
      <c r="AA5" s="3" cm="1">
        <f t="array" ref="AA5">SUM(($A$17:$A$616=W5)*($C$17:$C$616&lt;$E$17:$E$616),($B$17:$B$616=W5)*($E$17:$E$616&lt;$C$17:$C$616))</f>
        <v>2</v>
      </c>
      <c r="AB5" s="4">
        <f>SUMIF($A$17:$A$616,W5,$C$17:$C$616)+SUMIF($B$17:$B$616,W5,$E$17:$E$616)</f>
        <v>130</v>
      </c>
      <c r="AC5" s="5">
        <f>SUMIF($A$17:$A$616,W5,$E$17:$E$616)+SUMIF($B$17:$B$616,W5,$C$17:$C$616)</f>
        <v>116</v>
      </c>
      <c r="AD5" s="3">
        <f>AB5-AC5</f>
        <v>14</v>
      </c>
      <c r="AE5" s="4">
        <f>Y5*Points!$B$2+Z5*Points!$B$3</f>
        <v>4</v>
      </c>
      <c r="AF5">
        <f>AB5+AD5*10000+AE5*100000000</f>
        <v>400140130</v>
      </c>
      <c r="AG5">
        <f t="shared" si="2"/>
        <v>0.28017241379310343</v>
      </c>
    </row>
    <row r="6" spans="1:33" x14ac:dyDescent="0.3">
      <c r="A6" s="6" t="s">
        <v>15</v>
      </c>
      <c r="H6" s="6" t="str" cm="1">
        <f t="array" ref="H6">INDEX($W$3:$W$7,MATCH(LARGE($AF$3:$AF$7-ROW($AF$3:$AF$7)/COUNT($AF$3:$AF$7),ROW(H6)-ROW(H$6)+1),$AF$3:$AF$7-ROW($AF$3:$AF$7)/COUNT($AF$3:$AF$7),0))</f>
        <v>Sekhukhune</v>
      </c>
      <c r="I6" s="7">
        <f>VLOOKUP($H6,$W$3:$AE$10,2,0)</f>
        <v>4</v>
      </c>
      <c r="J6" s="7">
        <f>VLOOKUP($H6,$W$3:$AE$10,3,0)</f>
        <v>4</v>
      </c>
      <c r="K6" s="7">
        <f>VLOOKUP($H6,$W$3:$AE$10,5,0)</f>
        <v>0</v>
      </c>
      <c r="L6" s="7">
        <f>VLOOKUP($H6,$W$3:$AE$10,4,0)</f>
        <v>0</v>
      </c>
      <c r="M6" s="7">
        <f>VLOOKUP($H6,$W$3:$AE$12,9,0)</f>
        <v>8</v>
      </c>
      <c r="N6" s="7">
        <f>VLOOKUP($H6,$W$3:$AE$12,6,0)</f>
        <v>200</v>
      </c>
      <c r="O6" s="7">
        <f>VLOOKUP($H6,$W$3:$AE$12,7,0)</f>
        <v>82</v>
      </c>
      <c r="P6" s="7">
        <f>VLOOKUP($H6,$W$3:$AE$12,8,0)</f>
        <v>118</v>
      </c>
      <c r="Q6" s="60">
        <f>VLOOKUP($H6,$W$3:$AG$9,11,0)</f>
        <v>0.6097560975609756</v>
      </c>
      <c r="W6" s="1" t="str">
        <f>A7</f>
        <v>Xhariep</v>
      </c>
      <c r="X6" s="2" cm="1">
        <f t="array" ref="X6">SUM(($A$17:$A$616=W6)*(ISNUMBER($C$17:$C$616)),($B$17:$B$616=W6)*(ISNUMBER($E$17:$E$616)))</f>
        <v>4</v>
      </c>
      <c r="Y6" s="3" cm="1">
        <f t="array" ref="Y6">SUMPRODUCT(($A$17:$A$616=W6)*($C$17:$C$616&gt;$E$17:$E$616)) +
 SUMPRODUCT(($B$17:$B$616=W6)*($E$17:$E$616&gt;$C$17:$C$616))</f>
        <v>0</v>
      </c>
      <c r="Z6" s="3" cm="1">
        <f t="array" ref="Z6">SUM(($A$17:$A$616=W6)*($C$17:$C$616=$E$17:$E$616)*ISNUMBER($E$17:$E$616),($B$17:$B$616=W6)*($E$17:$E$616=$C$17:$C$616)*ISNUMBER($C$17:$C$616))</f>
        <v>0</v>
      </c>
      <c r="AA6" s="3" cm="1">
        <f t="array" ref="AA6">SUM(($A$17:$A$616=W6)*($C$17:$C$616&lt;$E$17:$E$616),($B$17:$B$616=W6)*($E$17:$E$616&lt;$C$17:$C$616))</f>
        <v>4</v>
      </c>
      <c r="AB6" s="4">
        <f>SUMIF($A$17:$A$616,W6,$C$17:$C$616)+SUMIF($B$17:$B$616,W6,$E$17:$E$616)</f>
        <v>72</v>
      </c>
      <c r="AC6" s="5">
        <f>SUMIF($A$17:$A$616,W6,$E$17:$E$616)+SUMIF($B$17:$B$616,W6,$C$17:$C$616)</f>
        <v>172</v>
      </c>
      <c r="AD6" s="3">
        <f t="shared" ref="AD6:AD7" si="3">AB6-AC6</f>
        <v>-100</v>
      </c>
      <c r="AE6" s="4">
        <f>Y6*Points!$B$2+Z6*Points!$B$3</f>
        <v>0</v>
      </c>
      <c r="AF6">
        <f t="shared" ref="AF6:AF7" si="4">AB6+AD6*10000+AE6*100000000</f>
        <v>-999928</v>
      </c>
      <c r="AG6">
        <f t="shared" si="2"/>
        <v>0.10465116279069768</v>
      </c>
    </row>
    <row r="7" spans="1:33" x14ac:dyDescent="0.3">
      <c r="A7" s="6" t="s">
        <v>119</v>
      </c>
      <c r="H7" s="6" t="str" cm="1">
        <f t="array" ref="H7">INDEX($W$3:$W$7,MATCH(LARGE($AF$3:$AF$7-ROW($AF$3:$AF$7)/COUNT($AF$3:$AF$7),ROW(H7)-ROW(H$6)+1),$AF$3:$AF$7-ROW($AF$3:$AF$7)/COUNT($AF$3:$AF$7),0))</f>
        <v>NMM</v>
      </c>
      <c r="I7" s="7">
        <f>VLOOKUP($H7,$W$3:$AE$10,2,0)</f>
        <v>4</v>
      </c>
      <c r="J7" s="7">
        <f>VLOOKUP($H7,$W$3:$AE$10,3,0)</f>
        <v>2</v>
      </c>
      <c r="K7" s="7">
        <f>VLOOKUP($H7,$W$3:$AE$10,5,0)</f>
        <v>2</v>
      </c>
      <c r="L7" s="7">
        <f>VLOOKUP($H7,$W$3:$AE$10,4,0)</f>
        <v>0</v>
      </c>
      <c r="M7" s="7">
        <f t="shared" ref="M7" si="5">VLOOKUP($H7,$W$3:$AE$12,9,0)</f>
        <v>4</v>
      </c>
      <c r="N7" s="7">
        <f>VLOOKUP($H7,$W$3:$AE$12,6,0)</f>
        <v>130</v>
      </c>
      <c r="O7" s="7">
        <f>VLOOKUP($H7,$W$3:$AE$12,7,0)</f>
        <v>116</v>
      </c>
      <c r="P7" s="7">
        <f>VLOOKUP($H7,$W$3:$AE$12,8,0)</f>
        <v>14</v>
      </c>
      <c r="Q7" s="60">
        <f t="shared" ref="Q7:Q10" si="6">VLOOKUP($H7,$W$3:$AG$9,11,0)</f>
        <v>0.28017241379310343</v>
      </c>
      <c r="W7" s="1" t="str">
        <f>A8</f>
        <v>SAPS B</v>
      </c>
      <c r="X7" s="2" cm="1">
        <f t="array" ref="X7">SUM(($A$17:$A$616=W7)*(ISNUMBER($C$17:$C$616)),($B$17:$B$616=W7)*(ISNUMBER($E$17:$E$616)))</f>
        <v>4</v>
      </c>
      <c r="Y7" s="3" cm="1">
        <f t="array" ref="Y7">SUMPRODUCT(($A$17:$A$616=W7)*($C$17:$C$616&gt;$E$17:$E$616)) +
 SUMPRODUCT(($B$17:$B$616=W7)*($E$17:$E$616&gt;$C$17:$C$616))</f>
        <v>2</v>
      </c>
      <c r="Z7" s="3" cm="1">
        <f t="array" ref="Z7">SUM(($A$17:$A$616=W7)*($C$17:$C$616=$E$17:$E$616)*ISNUMBER($E$17:$E$616),($B$17:$B$616=W7)*($E$17:$E$616=$C$17:$C$616)*ISNUMBER($C$17:$C$616))</f>
        <v>0</v>
      </c>
      <c r="AA7" s="3" cm="1">
        <f t="array" ref="AA7">SUM(($A$17:$A$616=W7)*($C$17:$C$616&lt;$E$17:$E$616),($B$17:$B$616=W7)*($E$17:$E$616&lt;$C$17:$C$616))</f>
        <v>2</v>
      </c>
      <c r="AB7" s="4">
        <f>SUMIF($A$17:$A$616,W7,$C$17:$C$616)+SUMIF($B$17:$B$616,W7,$E$17:$E$616)</f>
        <v>126</v>
      </c>
      <c r="AC7" s="5">
        <f>SUMIF($A$17:$A$616,W7,$E$17:$E$616)+SUMIF($B$17:$B$616,W7,$C$17:$C$616)</f>
        <v>149</v>
      </c>
      <c r="AD7" s="3">
        <f t="shared" si="3"/>
        <v>-23</v>
      </c>
      <c r="AE7" s="4">
        <f>Y7*Points!$B$2+Z7*Points!$B$3</f>
        <v>4</v>
      </c>
      <c r="AF7">
        <f t="shared" si="4"/>
        <v>399770126</v>
      </c>
      <c r="AG7">
        <f t="shared" si="2"/>
        <v>0.21140939597315436</v>
      </c>
    </row>
    <row r="8" spans="1:33" x14ac:dyDescent="0.3">
      <c r="A8" s="6" t="s">
        <v>120</v>
      </c>
      <c r="H8" s="6" t="str" cm="1">
        <f t="array" ref="H8">INDEX($W$3:$W$7,MATCH(LARGE($AF$3:$AF$7-ROW($AF$3:$AF$7)/COUNT($AF$3:$AF$7),ROW(H8)-ROW(H$6)+1),$AF$3:$AF$7-ROW($AF$3:$AF$7)/COUNT($AF$3:$AF$7),0))</f>
        <v>SANDF B</v>
      </c>
      <c r="I8" s="7">
        <f>VLOOKUP($H8,$W$3:$AE$10,2,0)</f>
        <v>4</v>
      </c>
      <c r="J8" s="7">
        <f>VLOOKUP($H8,$W$3:$AE$10,3,0)</f>
        <v>2</v>
      </c>
      <c r="K8" s="7">
        <f>VLOOKUP($H8,$W$3:$AE$10,5,0)</f>
        <v>2</v>
      </c>
      <c r="L8" s="7">
        <f>VLOOKUP($H8,$W$3:$AE$10,4,0)</f>
        <v>0</v>
      </c>
      <c r="M8" s="7">
        <f>VLOOKUP($H8,$W$3:$AE$12,9,0)</f>
        <v>4</v>
      </c>
      <c r="N8" s="7">
        <f>VLOOKUP($H8,$W$3:$AE$12,6,0)</f>
        <v>125</v>
      </c>
      <c r="O8" s="7">
        <f>VLOOKUP($H8,$W$3:$AE$12,7,0)</f>
        <v>134</v>
      </c>
      <c r="P8" s="7">
        <f>VLOOKUP($H8,$W$3:$AE$12,8,0)</f>
        <v>-9</v>
      </c>
      <c r="Q8" s="60">
        <f t="shared" si="6"/>
        <v>0.2332089552238806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3">
      <c r="A9" s="6"/>
      <c r="H9" s="6" t="str" cm="1">
        <f t="array" ref="H9">INDEX($W$3:$W$7,MATCH(LARGE($AF$3:$AF$7-ROW($AF$3:$AF$7)/COUNT($AF$3:$AF$7),ROW(H9)-ROW(H$6)+1),$AF$3:$AF$7-ROW($AF$3:$AF$7)/COUNT($AF$3:$AF$7),0))</f>
        <v>SAPS B</v>
      </c>
      <c r="I9" s="7">
        <f>VLOOKUP($H9,$W$3:$AE$10,2,0)</f>
        <v>4</v>
      </c>
      <c r="J9" s="7">
        <f>VLOOKUP($H9,$W$3:$AE$10,3,0)</f>
        <v>2</v>
      </c>
      <c r="K9" s="7">
        <f>VLOOKUP($H9,$W$3:$AE$10,5,0)</f>
        <v>2</v>
      </c>
      <c r="L9" s="7">
        <f>VLOOKUP($H9,$W$3:$AE$10,4,0)</f>
        <v>0</v>
      </c>
      <c r="M9" s="7">
        <f>VLOOKUP($H9,$W$3:$AE$12,9,0)</f>
        <v>4</v>
      </c>
      <c r="N9" s="7">
        <f>VLOOKUP($H9,$W$3:$AE$12,6,0)</f>
        <v>126</v>
      </c>
      <c r="O9" s="7">
        <f>VLOOKUP($H9,$W$3:$AE$12,7,0)</f>
        <v>149</v>
      </c>
      <c r="P9" s="7">
        <f>VLOOKUP($H9,$W$3:$AE$12,8,0)</f>
        <v>-23</v>
      </c>
      <c r="Q9" s="60">
        <f t="shared" si="6"/>
        <v>0.21140939597315436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3">
      <c r="A10" s="6"/>
      <c r="H10" s="6" t="str" cm="1">
        <f t="array" ref="H10">INDEX($W$3:$W$7,MATCH(LARGE($AF$3:$AF$7-ROW($AF$3:$AF$7)/COUNT($AF$3:$AF$7),ROW(H10)-ROW(H$6)+1),$AF$3:$AF$7-ROW($AF$3:$AF$7)/COUNT($AF$3:$AF$7),0))</f>
        <v>Xhariep</v>
      </c>
      <c r="I10" s="7">
        <f>VLOOKUP($H10,$W$3:$AE$10,2,0)</f>
        <v>4</v>
      </c>
      <c r="J10" s="7">
        <f>VLOOKUP($H10,$W$3:$AE$10,3,0)</f>
        <v>0</v>
      </c>
      <c r="K10" s="7">
        <f>VLOOKUP($H10,$W$3:$AE$10,5,0)</f>
        <v>4</v>
      </c>
      <c r="L10" s="7">
        <f>VLOOKUP($H10,$W$3:$AE$10,4,0)</f>
        <v>0</v>
      </c>
      <c r="M10" s="7">
        <f>VLOOKUP($H10,$W$3:$AE$12,9,0)</f>
        <v>0</v>
      </c>
      <c r="N10" s="7">
        <f>VLOOKUP($H10,$W$3:$AE$12,6,0)</f>
        <v>72</v>
      </c>
      <c r="O10" s="7">
        <f>VLOOKUP($H10,$W$3:$AE$12,7,0)</f>
        <v>172</v>
      </c>
      <c r="P10" s="7">
        <f>VLOOKUP($H10,$W$3:$AE$12,8,0)</f>
        <v>-100</v>
      </c>
      <c r="Q10" s="60">
        <f t="shared" si="6"/>
        <v>0.10465116279069768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3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3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5" spans="1:33" x14ac:dyDescent="0.3">
      <c r="H15"/>
      <c r="J15" s="3"/>
      <c r="K15" s="3"/>
      <c r="L15" s="3"/>
      <c r="M15" s="3"/>
      <c r="N15" s="3"/>
      <c r="O15" s="3"/>
      <c r="P15" s="3"/>
      <c r="Q15" s="3"/>
    </row>
    <row r="16" spans="1:33" ht="15" thickBot="1" x14ac:dyDescent="0.35">
      <c r="A16" s="20" t="s">
        <v>103</v>
      </c>
    </row>
    <row r="17" spans="1:12" ht="15" thickBot="1" x14ac:dyDescent="0.35">
      <c r="A17" s="53" t="s">
        <v>25</v>
      </c>
      <c r="B17" s="54" t="s">
        <v>120</v>
      </c>
      <c r="C17" s="55">
        <v>63</v>
      </c>
      <c r="D17" s="55" t="s">
        <v>16</v>
      </c>
      <c r="E17" s="56">
        <v>20</v>
      </c>
      <c r="F17" s="3"/>
      <c r="H17"/>
      <c r="I17"/>
      <c r="J17" s="3"/>
      <c r="K17" s="3"/>
      <c r="L17" s="3"/>
    </row>
    <row r="18" spans="1:12" x14ac:dyDescent="0.3">
      <c r="F18" s="3"/>
      <c r="H18"/>
      <c r="I18"/>
    </row>
    <row r="19" spans="1:12" x14ac:dyDescent="0.3">
      <c r="F19" s="3"/>
      <c r="H19"/>
      <c r="I19"/>
    </row>
    <row r="20" spans="1:12" ht="15" thickBot="1" x14ac:dyDescent="0.35">
      <c r="A20" s="20" t="s">
        <v>104</v>
      </c>
      <c r="F20" s="3"/>
      <c r="H20"/>
      <c r="I20"/>
    </row>
    <row r="21" spans="1:12" x14ac:dyDescent="0.3">
      <c r="A21" s="21" t="s">
        <v>15</v>
      </c>
      <c r="B21" s="22" t="s">
        <v>120</v>
      </c>
      <c r="C21" s="23">
        <v>32</v>
      </c>
      <c r="D21" s="23" t="str">
        <f>D17</f>
        <v>:</v>
      </c>
      <c r="E21" s="24">
        <v>34</v>
      </c>
      <c r="H21"/>
      <c r="I21"/>
      <c r="J21" s="3"/>
      <c r="K21" s="3"/>
      <c r="L21" s="3"/>
    </row>
    <row r="22" spans="1:12" x14ac:dyDescent="0.3">
      <c r="A22" s="25" t="s">
        <v>15</v>
      </c>
      <c r="B22" s="6" t="s">
        <v>119</v>
      </c>
      <c r="C22" s="7">
        <v>43</v>
      </c>
      <c r="D22" s="7" t="s">
        <v>16</v>
      </c>
      <c r="E22" s="26">
        <v>16</v>
      </c>
      <c r="H22"/>
      <c r="I22"/>
      <c r="J22" s="3"/>
      <c r="K22" s="3"/>
      <c r="L22" s="3"/>
    </row>
    <row r="23" spans="1:12" ht="15" thickBot="1" x14ac:dyDescent="0.35">
      <c r="A23" s="27" t="s">
        <v>61</v>
      </c>
      <c r="B23" s="28" t="s">
        <v>25</v>
      </c>
      <c r="C23" s="29">
        <v>22</v>
      </c>
      <c r="D23" s="29" t="s">
        <v>16</v>
      </c>
      <c r="E23" s="30">
        <v>51</v>
      </c>
      <c r="H23"/>
      <c r="I23"/>
      <c r="J23" s="3"/>
      <c r="K23" s="3"/>
      <c r="L23" s="3"/>
    </row>
    <row r="26" spans="1:12" ht="15" thickBot="1" x14ac:dyDescent="0.35">
      <c r="A26" s="20" t="s">
        <v>141</v>
      </c>
    </row>
    <row r="27" spans="1:12" x14ac:dyDescent="0.3">
      <c r="A27" s="21" t="s">
        <v>61</v>
      </c>
      <c r="B27" s="22" t="s">
        <v>120</v>
      </c>
      <c r="C27" s="23">
        <v>35</v>
      </c>
      <c r="D27" s="23" t="s">
        <v>16</v>
      </c>
      <c r="E27" s="24">
        <v>31</v>
      </c>
      <c r="H27"/>
      <c r="I27"/>
      <c r="J27" s="3"/>
      <c r="K27" s="3"/>
      <c r="L27" s="3"/>
    </row>
    <row r="28" spans="1:12" x14ac:dyDescent="0.3">
      <c r="A28" s="25" t="s">
        <v>25</v>
      </c>
      <c r="B28" s="6" t="s">
        <v>15</v>
      </c>
      <c r="C28" s="7">
        <v>38</v>
      </c>
      <c r="D28" s="7" t="s">
        <v>16</v>
      </c>
      <c r="E28" s="26">
        <v>24</v>
      </c>
      <c r="H28"/>
      <c r="I28"/>
      <c r="J28" s="3"/>
      <c r="K28" s="3"/>
      <c r="L28" s="3"/>
    </row>
    <row r="29" spans="1:12" ht="15" thickBot="1" x14ac:dyDescent="0.35">
      <c r="A29" s="27" t="s">
        <v>119</v>
      </c>
      <c r="B29" s="28" t="s">
        <v>61</v>
      </c>
      <c r="C29" s="29">
        <v>21</v>
      </c>
      <c r="D29" s="29" t="s">
        <v>16</v>
      </c>
      <c r="E29" s="30">
        <v>40</v>
      </c>
    </row>
    <row r="32" spans="1:12" ht="15" thickBot="1" x14ac:dyDescent="0.35">
      <c r="A32" s="20" t="s">
        <v>145</v>
      </c>
    </row>
    <row r="33" spans="1:12" x14ac:dyDescent="0.3">
      <c r="A33" s="21" t="s">
        <v>119</v>
      </c>
      <c r="B33" s="22" t="s">
        <v>120</v>
      </c>
      <c r="C33" s="23">
        <v>19</v>
      </c>
      <c r="D33" s="23" t="s">
        <v>16</v>
      </c>
      <c r="E33" s="24">
        <v>41</v>
      </c>
    </row>
    <row r="34" spans="1:12" x14ac:dyDescent="0.3">
      <c r="A34" s="25" t="s">
        <v>61</v>
      </c>
      <c r="B34" s="6" t="s">
        <v>15</v>
      </c>
      <c r="C34" s="7">
        <v>28</v>
      </c>
      <c r="D34" s="7" t="s">
        <v>16</v>
      </c>
      <c r="E34" s="26">
        <v>31</v>
      </c>
    </row>
    <row r="35" spans="1:12" x14ac:dyDescent="0.3">
      <c r="A35" s="25" t="s">
        <v>25</v>
      </c>
      <c r="B35" s="6" t="s">
        <v>119</v>
      </c>
      <c r="C35" s="7">
        <v>48</v>
      </c>
      <c r="D35" s="7" t="s">
        <v>16</v>
      </c>
      <c r="E35" s="26">
        <v>16</v>
      </c>
    </row>
    <row r="38" spans="1:12" x14ac:dyDescent="0.3">
      <c r="H38" s="41"/>
      <c r="I38"/>
    </row>
    <row r="39" spans="1:12" x14ac:dyDescent="0.3">
      <c r="G39" s="42"/>
      <c r="H39"/>
      <c r="I39"/>
      <c r="J39" s="3"/>
      <c r="K39" s="3"/>
      <c r="L39" s="3"/>
    </row>
    <row r="40" spans="1:12" x14ac:dyDescent="0.3">
      <c r="H40"/>
      <c r="I40"/>
      <c r="J40" s="3"/>
      <c r="K40" s="3"/>
      <c r="L40" s="3"/>
    </row>
    <row r="41" spans="1:12" x14ac:dyDescent="0.3">
      <c r="H41"/>
      <c r="I41"/>
      <c r="J41" s="3"/>
      <c r="K41" s="3"/>
      <c r="L41" s="3"/>
    </row>
    <row r="42" spans="1:12" x14ac:dyDescent="0.3">
      <c r="H42"/>
      <c r="I42"/>
      <c r="J42" s="3"/>
      <c r="K42" s="3"/>
      <c r="L42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docMetadata/LabelInfo.xml><?xml version="1.0" encoding="utf-8"?>
<clbl:labelList xmlns:clbl="http://schemas.microsoft.com/office/2020/mipLabelMetadata">
  <clbl:label id="{216eec4e-c7b8-491d-b7d8-90a69632743d}" enabled="1" method="Standard" siteId="{4032514a-830a-4f20-9539-81bbc35b3cd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76</vt:i4>
      </vt:variant>
    </vt:vector>
  </HeadingPairs>
  <TitlesOfParts>
    <vt:vector size="96" baseType="lpstr">
      <vt:lpstr>u21 B3 PURPLE</vt:lpstr>
      <vt:lpstr>u21 B3 PINK</vt:lpstr>
      <vt:lpstr>u21 B2 GREY</vt:lpstr>
      <vt:lpstr>u21 B2 GREEN</vt:lpstr>
      <vt:lpstr>u21 B1 RED</vt:lpstr>
      <vt:lpstr>u21 B1 BLUE</vt:lpstr>
      <vt:lpstr>u21 A</vt:lpstr>
      <vt:lpstr>Senior B5</vt:lpstr>
      <vt:lpstr>Senior B4 BLACK</vt:lpstr>
      <vt:lpstr>Senior B4 WHITE</vt:lpstr>
      <vt:lpstr>Senior B4 SILVER</vt:lpstr>
      <vt:lpstr>Senior B4 GREY</vt:lpstr>
      <vt:lpstr>Senior B3 PURPLE</vt:lpstr>
      <vt:lpstr>Senior B3 PINK</vt:lpstr>
      <vt:lpstr>Senior B2 GREEN</vt:lpstr>
      <vt:lpstr>Senior B2 GREY</vt:lpstr>
      <vt:lpstr>Senior B1 RED</vt:lpstr>
      <vt:lpstr>Senior B1 BLUE</vt:lpstr>
      <vt:lpstr>Senior A</vt:lpstr>
      <vt:lpstr>Points</vt:lpstr>
      <vt:lpstr>'Senior A'!home</vt:lpstr>
      <vt:lpstr>'Senior B1 BLUE'!home</vt:lpstr>
      <vt:lpstr>'Senior B1 RED'!home</vt:lpstr>
      <vt:lpstr>'Senior B2 GREEN'!home</vt:lpstr>
      <vt:lpstr>'Senior B2 GREY'!home</vt:lpstr>
      <vt:lpstr>'Senior B3 PINK'!home</vt:lpstr>
      <vt:lpstr>'Senior B3 PURPLE'!home</vt:lpstr>
      <vt:lpstr>'Senior B4 BLACK'!home</vt:lpstr>
      <vt:lpstr>'Senior B4 GREY'!home</vt:lpstr>
      <vt:lpstr>'Senior B4 SILVER'!home</vt:lpstr>
      <vt:lpstr>'Senior B4 WHITE'!home</vt:lpstr>
      <vt:lpstr>'Senior B5'!home</vt:lpstr>
      <vt:lpstr>'u21 A'!home</vt:lpstr>
      <vt:lpstr>'u21 B1 BLUE'!home</vt:lpstr>
      <vt:lpstr>'u21 B1 RED'!home</vt:lpstr>
      <vt:lpstr>'u21 B2 GREEN'!home</vt:lpstr>
      <vt:lpstr>'u21 B2 GREY'!home</vt:lpstr>
      <vt:lpstr>'u21 B3 PINK'!home</vt:lpstr>
      <vt:lpstr>'u21 B3 PURPLE'!home</vt:lpstr>
      <vt:lpstr>'Senior A'!homescore</vt:lpstr>
      <vt:lpstr>'Senior B1 BLUE'!homescore</vt:lpstr>
      <vt:lpstr>'Senior B1 RED'!homescore</vt:lpstr>
      <vt:lpstr>'Senior B2 GREEN'!homescore</vt:lpstr>
      <vt:lpstr>'Senior B2 GREY'!homescore</vt:lpstr>
      <vt:lpstr>'Senior B3 PINK'!homescore</vt:lpstr>
      <vt:lpstr>'Senior B3 PURPLE'!homescore</vt:lpstr>
      <vt:lpstr>'Senior B4 BLACK'!homescore</vt:lpstr>
      <vt:lpstr>'Senior B4 GREY'!homescore</vt:lpstr>
      <vt:lpstr>'Senior B4 SILVER'!homescore</vt:lpstr>
      <vt:lpstr>'Senior B4 WHITE'!homescore</vt:lpstr>
      <vt:lpstr>'Senior B5'!homescore</vt:lpstr>
      <vt:lpstr>'u21 A'!homescore</vt:lpstr>
      <vt:lpstr>'u21 B1 BLUE'!homescore</vt:lpstr>
      <vt:lpstr>'u21 B1 RED'!homescore</vt:lpstr>
      <vt:lpstr>'u21 B2 GREEN'!homescore</vt:lpstr>
      <vt:lpstr>'u21 B2 GREY'!homescore</vt:lpstr>
      <vt:lpstr>'u21 B3 PINK'!homescore</vt:lpstr>
      <vt:lpstr>'u21 B3 PURPLE'!homescore</vt:lpstr>
      <vt:lpstr>'Senior A'!visitor</vt:lpstr>
      <vt:lpstr>'Senior B1 BLUE'!visitor</vt:lpstr>
      <vt:lpstr>'Senior B1 RED'!visitor</vt:lpstr>
      <vt:lpstr>'Senior B2 GREEN'!visitor</vt:lpstr>
      <vt:lpstr>'Senior B2 GREY'!visitor</vt:lpstr>
      <vt:lpstr>'Senior B3 PINK'!visitor</vt:lpstr>
      <vt:lpstr>'Senior B3 PURPLE'!visitor</vt:lpstr>
      <vt:lpstr>'Senior B4 BLACK'!visitor</vt:lpstr>
      <vt:lpstr>'Senior B4 GREY'!visitor</vt:lpstr>
      <vt:lpstr>'Senior B4 SILVER'!visitor</vt:lpstr>
      <vt:lpstr>'Senior B4 WHITE'!visitor</vt:lpstr>
      <vt:lpstr>'Senior B5'!visitor</vt:lpstr>
      <vt:lpstr>'u21 A'!visitor</vt:lpstr>
      <vt:lpstr>'u21 B1 BLUE'!visitor</vt:lpstr>
      <vt:lpstr>'u21 B1 RED'!visitor</vt:lpstr>
      <vt:lpstr>'u21 B2 GREEN'!visitor</vt:lpstr>
      <vt:lpstr>'u21 B2 GREY'!visitor</vt:lpstr>
      <vt:lpstr>'u21 B3 PINK'!visitor</vt:lpstr>
      <vt:lpstr>'u21 B3 PURPLE'!visitor</vt:lpstr>
      <vt:lpstr>'Senior A'!visitorscore</vt:lpstr>
      <vt:lpstr>'Senior B1 BLUE'!visitorscore</vt:lpstr>
      <vt:lpstr>'Senior B1 RED'!visitorscore</vt:lpstr>
      <vt:lpstr>'Senior B2 GREEN'!visitorscore</vt:lpstr>
      <vt:lpstr>'Senior B2 GREY'!visitorscore</vt:lpstr>
      <vt:lpstr>'Senior B3 PINK'!visitorscore</vt:lpstr>
      <vt:lpstr>'Senior B3 PURPLE'!visitorscore</vt:lpstr>
      <vt:lpstr>'Senior B4 BLACK'!visitorscore</vt:lpstr>
      <vt:lpstr>'Senior B4 GREY'!visitorscore</vt:lpstr>
      <vt:lpstr>'Senior B4 SILVER'!visitorscore</vt:lpstr>
      <vt:lpstr>'Senior B4 WHITE'!visitorscore</vt:lpstr>
      <vt:lpstr>'Senior B5'!visitorscore</vt:lpstr>
      <vt:lpstr>'u21 A'!visitorscore</vt:lpstr>
      <vt:lpstr>'u21 B1 BLUE'!visitorscore</vt:lpstr>
      <vt:lpstr>'u21 B1 RED'!visitorscore</vt:lpstr>
      <vt:lpstr>'u21 B2 GREEN'!visitorscore</vt:lpstr>
      <vt:lpstr>'u21 B2 GREY'!visitorscore</vt:lpstr>
      <vt:lpstr>'u21 B3 PINK'!visitorscore</vt:lpstr>
      <vt:lpstr>'u21 B3 PURPLE'!visitorscore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Podlešák</dc:creator>
  <cp:keywords/>
  <dc:description/>
  <cp:lastModifiedBy>Tente, Ntemohi</cp:lastModifiedBy>
  <cp:revision/>
  <dcterms:created xsi:type="dcterms:W3CDTF">2013-06-11T19:47:31Z</dcterms:created>
  <dcterms:modified xsi:type="dcterms:W3CDTF">2026-08-11T05:32:13Z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6eec4e-c7b8-491d-b7d8-90a69632743d_Enabled">
    <vt:lpwstr>true</vt:lpwstr>
  </property>
  <property fmtid="{D5CDD505-2E9C-101B-9397-08002B2CF9AE}" pid="3" name="MSIP_Label_216eec4e-c7b8-491d-b7d8-90a69632743d_SetDate">
    <vt:lpwstr>2025-10-22T19:18:26Z</vt:lpwstr>
  </property>
  <property fmtid="{D5CDD505-2E9C-101B-9397-08002B2CF9AE}" pid="4" name="MSIP_Label_216eec4e-c7b8-491d-b7d8-90a69632743d_Method">
    <vt:lpwstr>Standard</vt:lpwstr>
  </property>
  <property fmtid="{D5CDD505-2E9C-101B-9397-08002B2CF9AE}" pid="5" name="MSIP_Label_216eec4e-c7b8-491d-b7d8-90a69632743d_Name">
    <vt:lpwstr>216eec4e-c7b8-491d-b7d8-90a69632743d</vt:lpwstr>
  </property>
  <property fmtid="{D5CDD505-2E9C-101B-9397-08002B2CF9AE}" pid="6" name="MSIP_Label_216eec4e-c7b8-491d-b7d8-90a69632743d_SiteId">
    <vt:lpwstr>4032514a-830a-4f20-9539-81bbc35b3cd9</vt:lpwstr>
  </property>
  <property fmtid="{D5CDD505-2E9C-101B-9397-08002B2CF9AE}" pid="7" name="MSIP_Label_216eec4e-c7b8-491d-b7d8-90a69632743d_ActionId">
    <vt:lpwstr>08d84266-3d60-485b-a0ba-94c54e5c9f20</vt:lpwstr>
  </property>
  <property fmtid="{D5CDD505-2E9C-101B-9397-08002B2CF9AE}" pid="8" name="MSIP_Label_216eec4e-c7b8-491d-b7d8-90a69632743d_ContentBits">
    <vt:lpwstr>0</vt:lpwstr>
  </property>
  <property fmtid="{D5CDD505-2E9C-101B-9397-08002B2CF9AE}" pid="9" name="MSIP_Label_216eec4e-c7b8-491d-b7d8-90a69632743d_Tag">
    <vt:lpwstr>10, 3, 0, 1</vt:lpwstr>
  </property>
</Properties>
</file>